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Volumes/Rea Dev/Georgia/2024 Georgia Applications/Full-Applications/Blue Ridge/2024-0xxAbbBRCompetitiveAppFldr/"/>
    </mc:Choice>
  </mc:AlternateContent>
  <xr:revisionPtr revIDLastSave="0" documentId="13_ncr:1_{8C686955-A905-B347-98C4-A921BD9D337A}"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48120" yWindow="-12700" windowWidth="38480" windowHeight="220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1">'Part I-Project Identification'!$A$2:$P$43</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8">'Part IV-Utility Allowances'!$A$1:$M$46</definedName>
    <definedName name="_xlnm.Print_Area" localSheetId="14">'Part IX - Applicant Cert Ltr'!$A$1:$M$41</definedName>
    <definedName name="_xlnm.Print_Area" localSheetId="9">'Part V-Revenues &amp; Expenses'!$A$2:$Q$260</definedName>
    <definedName name="_xlnm.Print_Area" localSheetId="10">'Part VI-Pro Forma'!$A$2:$K$140</definedName>
    <definedName name="_xlnm.Print_Area" localSheetId="11">'Part VII-Threshold Criteria'!$A$1:$Q$313</definedName>
    <definedName name="_xlnm.Print_Area" localSheetId="16">'Part VII-Threshold Criteria OLD'!$A$1:$Q$449</definedName>
    <definedName name="_xlnm.Print_Area" localSheetId="12">'Part VIII Scoring Criteria'!$A$1:$P$411</definedName>
    <definedName name="_xlnm.Print_Area" localSheetId="18">'Part VIII Scoring Criteria OLD'!$A$1:$P$446</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9">'Part V-Revenues &amp; Expenses'!$2:$3</definedName>
    <definedName name="_xlnm.Print_Titles" localSheetId="10">'Part VI-Pro Forma'!$2:$3</definedName>
    <definedName name="_xlnm.Print_Titles" localSheetId="16">'Part VII-Threshold Criteria OLD'!$1:$4</definedName>
    <definedName name="_xlnm.Print_Titles" localSheetId="12">'Part VIII Scoring Criteria'!$1:$6</definedName>
    <definedName name="_xlnm.Print_Titles" localSheetId="18">'Part VIII Scoring Criteria OLD'!$1:$6</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7" i="107" l="1"/>
  <c r="G88" i="107"/>
  <c r="L29" i="106"/>
  <c r="L28" i="106"/>
  <c r="D125" i="111" l="1"/>
  <c r="E125" i="111"/>
  <c r="F125" i="111" s="1"/>
  <c r="C125" i="111"/>
  <c r="B125" i="111"/>
  <c r="D95" i="111"/>
  <c r="E95" i="111"/>
  <c r="F95" i="111" s="1"/>
  <c r="G95" i="111" s="1"/>
  <c r="H95" i="111" s="1"/>
  <c r="I95" i="111" s="1"/>
  <c r="J95" i="111" s="1"/>
  <c r="K95" i="111" s="1"/>
  <c r="C95" i="111"/>
  <c r="B95" i="111"/>
  <c r="D63" i="111"/>
  <c r="E63" i="111"/>
  <c r="F63" i="111" s="1"/>
  <c r="G63" i="111" s="1"/>
  <c r="H63" i="111" s="1"/>
  <c r="I63" i="111" s="1"/>
  <c r="J63" i="111" s="1"/>
  <c r="K63" i="111" s="1"/>
  <c r="C63" i="111"/>
  <c r="B63" i="111"/>
  <c r="D31" i="111"/>
  <c r="E31" i="111"/>
  <c r="F31" i="111" s="1"/>
  <c r="G31" i="111" s="1"/>
  <c r="H31" i="111" s="1"/>
  <c r="I31" i="111" s="1"/>
  <c r="J31" i="111" s="1"/>
  <c r="K31" i="111" s="1"/>
  <c r="C31" i="111"/>
  <c r="G26" i="107"/>
  <c r="J19" i="110" l="1"/>
  <c r="J20" i="110"/>
  <c r="J21" i="110"/>
  <c r="J22" i="110"/>
  <c r="J23" i="110"/>
  <c r="J24" i="110"/>
  <c r="J25" i="110"/>
  <c r="J26" i="110"/>
  <c r="L19" i="120"/>
  <c r="K19" i="120"/>
  <c r="J19" i="120"/>
  <c r="S105" i="107"/>
  <c r="S27" i="107"/>
  <c r="J90" i="107" l="1"/>
  <c r="J78" i="107"/>
  <c r="J62" i="107"/>
  <c r="J71" i="107"/>
  <c r="J72" i="107"/>
  <c r="J61" i="107"/>
  <c r="J16" i="107"/>
  <c r="J17" i="107"/>
  <c r="O368" i="112" l="1"/>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ML452" i="121" s="1"/>
  <c r="P452" i="121"/>
  <c r="HC452" i="121" s="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HF458" i="121" s="1"/>
  <c r="O458" i="121"/>
  <c r="P458" i="121"/>
  <c r="Q458" i="121"/>
  <c r="N459" i="121"/>
  <c r="O459" i="121"/>
  <c r="P459" i="121"/>
  <c r="Q459" i="121"/>
  <c r="N460" i="121"/>
  <c r="O460" i="121"/>
  <c r="P460" i="121"/>
  <c r="Q460" i="121"/>
  <c r="N461" i="121"/>
  <c r="O461" i="121"/>
  <c r="P461" i="121"/>
  <c r="Q461" i="121"/>
  <c r="N462" i="121"/>
  <c r="LH462" i="121" s="1"/>
  <c r="O462" i="121"/>
  <c r="P462" i="121"/>
  <c r="Q462" i="121"/>
  <c r="N463" i="121"/>
  <c r="O463" i="121"/>
  <c r="P463" i="121"/>
  <c r="Q463" i="121"/>
  <c r="N464" i="121"/>
  <c r="GU464" i="121" s="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A451" i="121" s="1"/>
  <c r="I451" i="121"/>
  <c r="C452" i="121"/>
  <c r="MS452" i="121" s="1"/>
  <c r="D452" i="121"/>
  <c r="E452" i="121"/>
  <c r="F452" i="121"/>
  <c r="G452" i="121"/>
  <c r="H452" i="121"/>
  <c r="I452" i="121"/>
  <c r="L452" i="121" s="1"/>
  <c r="M452" i="121" s="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J245" i="121" s="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A229" i="121" s="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4" i="121" s="1"/>
  <c r="S130" i="121"/>
  <c r="G133" i="121"/>
  <c r="G132" i="121"/>
  <c r="G131" i="121"/>
  <c r="G130" i="121"/>
  <c r="C126" i="121"/>
  <c r="C127" i="121"/>
  <c r="C125" i="121"/>
  <c r="A125" i="121" s="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LL464" i="121"/>
  <c r="LE464" i="121"/>
  <c r="KO464" i="121"/>
  <c r="JY464" i="121"/>
  <c r="JI464" i="121"/>
  <c r="IS464" i="121"/>
  <c r="ID464" i="121"/>
  <c r="IC464" i="121"/>
  <c r="IB464" i="121"/>
  <c r="IA464" i="121"/>
  <c r="HZ464" i="121"/>
  <c r="HC464" i="121"/>
  <c r="FW464" i="121"/>
  <c r="EQ464" i="121"/>
  <c r="DK464" i="121"/>
  <c r="CE464" i="121"/>
  <c r="AY464" i="121"/>
  <c r="ML463" i="121"/>
  <c r="MD463" i="121"/>
  <c r="LY463" i="121"/>
  <c r="LV463" i="121"/>
  <c r="LQ463" i="121"/>
  <c r="LN463" i="121"/>
  <c r="LI463" i="121"/>
  <c r="LA463" i="121"/>
  <c r="ID463" i="121"/>
  <c r="IA463" i="121"/>
  <c r="HV463" i="121"/>
  <c r="HS463" i="121"/>
  <c r="HN463" i="121"/>
  <c r="HK463" i="121"/>
  <c r="HF463" i="121"/>
  <c r="HC463" i="121"/>
  <c r="GX463" i="121"/>
  <c r="GU463" i="121"/>
  <c r="GP463" i="121"/>
  <c r="GM463" i="121"/>
  <c r="GH463" i="121"/>
  <c r="GE463" i="121"/>
  <c r="FZ463" i="121"/>
  <c r="FW463" i="121"/>
  <c r="FR463" i="121"/>
  <c r="FO463" i="121"/>
  <c r="FJ463" i="121"/>
  <c r="FG463" i="121"/>
  <c r="FB463" i="121"/>
  <c r="EY463" i="121"/>
  <c r="ET463" i="121"/>
  <c r="EQ463" i="121"/>
  <c r="EL463" i="121"/>
  <c r="EI463" i="121"/>
  <c r="ED463" i="121"/>
  <c r="EA463" i="121"/>
  <c r="DV463" i="121"/>
  <c r="DS463" i="121"/>
  <c r="DN463" i="121"/>
  <c r="DK463" i="121"/>
  <c r="DF463" i="121"/>
  <c r="DC463" i="121"/>
  <c r="CX463" i="121"/>
  <c r="CU463" i="121"/>
  <c r="CP463" i="121"/>
  <c r="CM463" i="121"/>
  <c r="CH463" i="121"/>
  <c r="CE463" i="121"/>
  <c r="BZ463" i="121"/>
  <c r="BW463" i="121"/>
  <c r="BR463" i="121"/>
  <c r="BO463" i="121"/>
  <c r="BJ463" i="121"/>
  <c r="BG463" i="121"/>
  <c r="BB463" i="121"/>
  <c r="AY463" i="121"/>
  <c r="AT463" i="121"/>
  <c r="AQ463" i="121"/>
  <c r="AL463" i="121"/>
  <c r="AI463" i="121"/>
  <c r="AD463" i="121"/>
  <c r="AA463" i="121"/>
  <c r="MN462" i="121"/>
  <c r="LX462" i="121"/>
  <c r="KW462" i="121"/>
  <c r="KG462" i="121"/>
  <c r="JQ462" i="121"/>
  <c r="JA462" i="121"/>
  <c r="IN462" i="121"/>
  <c r="IF462" i="121"/>
  <c r="ID462" i="121"/>
  <c r="IC462" i="121"/>
  <c r="IB462" i="121"/>
  <c r="IA462" i="121"/>
  <c r="HZ462" i="121"/>
  <c r="HX462" i="121"/>
  <c r="GR462" i="121"/>
  <c r="FL462" i="121"/>
  <c r="EF462" i="121"/>
  <c r="CZ462" i="121"/>
  <c r="BT462" i="121"/>
  <c r="AN462" i="121"/>
  <c r="MO461" i="121"/>
  <c r="MN461" i="121"/>
  <c r="MM461" i="121"/>
  <c r="ML461" i="121"/>
  <c r="MK461" i="121"/>
  <c r="KZ461" i="121"/>
  <c r="KR461" i="121"/>
  <c r="KJ461" i="121"/>
  <c r="KB461" i="121"/>
  <c r="JT461" i="121"/>
  <c r="JL461" i="121"/>
  <c r="JD461" i="121"/>
  <c r="IV461" i="121"/>
  <c r="IN461" i="121"/>
  <c r="IF461" i="121"/>
  <c r="ID461" i="121"/>
  <c r="IC461" i="121"/>
  <c r="IB461" i="121"/>
  <c r="IA461" i="121"/>
  <c r="HZ461" i="121"/>
  <c r="GF461" i="121"/>
  <c r="GE461" i="121"/>
  <c r="GD461" i="121"/>
  <c r="GC461" i="121"/>
  <c r="GB461" i="121"/>
  <c r="GA461" i="121"/>
  <c r="FZ461" i="121"/>
  <c r="FY461" i="121"/>
  <c r="FX461" i="121"/>
  <c r="FW461" i="121"/>
  <c r="EH461" i="121"/>
  <c r="EG461" i="121"/>
  <c r="EF461" i="121"/>
  <c r="EE461" i="121"/>
  <c r="ED461" i="121"/>
  <c r="EC461" i="121"/>
  <c r="JY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R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GU458" i="121"/>
  <c r="FQ458" i="121"/>
  <c r="ER458" i="121"/>
  <c r="DS458" i="121"/>
  <c r="CW458" i="121"/>
  <c r="CD458" i="121"/>
  <c r="BG458" i="121"/>
  <c r="AQ458" i="121"/>
  <c r="AD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LK452" i="121"/>
  <c r="LI452" i="121"/>
  <c r="JE452" i="121"/>
  <c r="JA452" i="121"/>
  <c r="HI452" i="121"/>
  <c r="GE452" i="121"/>
  <c r="GC452" i="121"/>
  <c r="FW452" i="121"/>
  <c r="FU452" i="121"/>
  <c r="FO452" i="121"/>
  <c r="FM452" i="121"/>
  <c r="FG452" i="121"/>
  <c r="FE452" i="121"/>
  <c r="EY452" i="121"/>
  <c r="EW452" i="121"/>
  <c r="EQ452" i="121"/>
  <c r="EO452" i="121"/>
  <c r="EI452" i="121"/>
  <c r="EG452" i="121"/>
  <c r="EA452" i="121"/>
  <c r="DY452" i="121"/>
  <c r="DS452" i="121"/>
  <c r="DQ452" i="121"/>
  <c r="DK452" i="121"/>
  <c r="DI452" i="121"/>
  <c r="DC452" i="121"/>
  <c r="DA452" i="121"/>
  <c r="CU452" i="121"/>
  <c r="CS452" i="121"/>
  <c r="CM452" i="121"/>
  <c r="CK452" i="121"/>
  <c r="CE452" i="121"/>
  <c r="CC452" i="121"/>
  <c r="BW452" i="121"/>
  <c r="BU452" i="121"/>
  <c r="BO452" i="121"/>
  <c r="BM452" i="121"/>
  <c r="BG452" i="121"/>
  <c r="BE452" i="121"/>
  <c r="AY452" i="121"/>
  <c r="AW452" i="121"/>
  <c r="AQ452" i="121"/>
  <c r="AO452" i="121"/>
  <c r="AI452" i="121"/>
  <c r="AG452" i="121"/>
  <c r="AA452" i="121"/>
  <c r="Y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B393" i="121"/>
  <c r="A391" i="121"/>
  <c r="S301" i="121"/>
  <c r="S299" i="121"/>
  <c r="S297" i="121"/>
  <c r="J292" i="121"/>
  <c r="N289" i="121"/>
  <c r="J289" i="121"/>
  <c r="S254" i="121"/>
  <c r="P254" i="121"/>
  <c r="M254" i="121"/>
  <c r="J254" i="121"/>
  <c r="G254" i="121"/>
  <c r="O251" i="121"/>
  <c r="P245" i="121"/>
  <c r="J241" i="121"/>
  <c r="O238" i="121"/>
  <c r="S237" i="121"/>
  <c r="M237" i="121"/>
  <c r="E237" i="121"/>
  <c r="F235" i="121"/>
  <c r="O231" i="121"/>
  <c r="F231"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F136" i="121"/>
  <c r="O135" i="121"/>
  <c r="M134" i="121"/>
  <c r="F130" i="121"/>
  <c r="O129" i="121"/>
  <c r="M128" i="121"/>
  <c r="O118" i="121"/>
  <c r="D116" i="121"/>
  <c r="A112" i="121"/>
  <c r="L47" i="121"/>
  <c r="O9" i="121"/>
  <c r="Q1213" i="121" l="1"/>
  <c r="L689" i="121"/>
  <c r="J237" i="121"/>
  <c r="G237" i="121"/>
  <c r="L683" i="121"/>
  <c r="CF460" i="121"/>
  <c r="AZ460" i="121"/>
  <c r="ER460" i="121"/>
  <c r="AA458" i="121"/>
  <c r="AO458" i="121"/>
  <c r="BB458" i="121"/>
  <c r="BW458" i="121"/>
  <c r="CT458" i="121"/>
  <c r="DM458" i="121"/>
  <c r="EI458" i="121"/>
  <c r="FM458" i="121"/>
  <c r="GJ458" i="121"/>
  <c r="FX460" i="121"/>
  <c r="AF462" i="121"/>
  <c r="BL462" i="121"/>
  <c r="CR462" i="121"/>
  <c r="DX462" i="121"/>
  <c r="FD462" i="121"/>
  <c r="GJ462" i="121"/>
  <c r="HP462" i="121"/>
  <c r="LP462" i="121"/>
  <c r="AQ464" i="121"/>
  <c r="BW464" i="121"/>
  <c r="DC464" i="121"/>
  <c r="EI464" i="121"/>
  <c r="FO464" i="121"/>
  <c r="ME462" i="121"/>
  <c r="LW462" i="121"/>
  <c r="HU462" i="121"/>
  <c r="HM462" i="121"/>
  <c r="HE462" i="121"/>
  <c r="GW462" i="121"/>
  <c r="GO462" i="121"/>
  <c r="GG462" i="121"/>
  <c r="MD462" i="121"/>
  <c r="LV462" i="121"/>
  <c r="HT462" i="121"/>
  <c r="HL462" i="121"/>
  <c r="HD462" i="121"/>
  <c r="GV462" i="121"/>
  <c r="GN462" i="121"/>
  <c r="MC462" i="121"/>
  <c r="LU462" i="121"/>
  <c r="HS462" i="121"/>
  <c r="HK462" i="121"/>
  <c r="HC462" i="121"/>
  <c r="GU462" i="121"/>
  <c r="GM462" i="121"/>
  <c r="MB462" i="121"/>
  <c r="LT462" i="121"/>
  <c r="HR462" i="121"/>
  <c r="HJ462" i="121"/>
  <c r="HB462" i="121"/>
  <c r="GT462" i="121"/>
  <c r="GL462" i="121"/>
  <c r="MA462" i="121"/>
  <c r="LS462" i="121"/>
  <c r="HY462" i="121"/>
  <c r="HQ462" i="121"/>
  <c r="HI462" i="121"/>
  <c r="HA462" i="121"/>
  <c r="GS462" i="121"/>
  <c r="GK462" i="121"/>
  <c r="LY462" i="121"/>
  <c r="LQ462" i="121"/>
  <c r="HW462" i="121"/>
  <c r="HO462" i="121"/>
  <c r="HG462" i="121"/>
  <c r="GY462" i="121"/>
  <c r="GQ462" i="121"/>
  <c r="GI462" i="121"/>
  <c r="ML460" i="121"/>
  <c r="HD460" i="121"/>
  <c r="MB458" i="121"/>
  <c r="HS458" i="121"/>
  <c r="HE458" i="121"/>
  <c r="MO458" i="121"/>
  <c r="LY458" i="121"/>
  <c r="HP458" i="121"/>
  <c r="HD458" i="121"/>
  <c r="GP458" i="121"/>
  <c r="MN458" i="121"/>
  <c r="LU458" i="121"/>
  <c r="HN458" i="121"/>
  <c r="HC458" i="121"/>
  <c r="GO458" i="121"/>
  <c r="MM458" i="121"/>
  <c r="LT458" i="121"/>
  <c r="HM458" i="121"/>
  <c r="GZ458" i="121"/>
  <c r="GN458" i="121"/>
  <c r="ML458" i="121"/>
  <c r="LQ458" i="121"/>
  <c r="HX458" i="121"/>
  <c r="HL458" i="121"/>
  <c r="GX458" i="121"/>
  <c r="GM458" i="121"/>
  <c r="MI458" i="121"/>
  <c r="HU458" i="121"/>
  <c r="HH458" i="121"/>
  <c r="GV458" i="121"/>
  <c r="GH458" i="121"/>
  <c r="LK464" i="121"/>
  <c r="GB464" i="121"/>
  <c r="FT464" i="121"/>
  <c r="FL464" i="121"/>
  <c r="FD464" i="121"/>
  <c r="EV464" i="121"/>
  <c r="EN464" i="121"/>
  <c r="EF464" i="121"/>
  <c r="DX464" i="121"/>
  <c r="DP464" i="121"/>
  <c r="DH464" i="121"/>
  <c r="CZ464" i="121"/>
  <c r="CR464" i="121"/>
  <c r="CJ464" i="121"/>
  <c r="CB464" i="121"/>
  <c r="BT464" i="121"/>
  <c r="BL464" i="121"/>
  <c r="BD464" i="121"/>
  <c r="AV464" i="121"/>
  <c r="AN464" i="121"/>
  <c r="AF464" i="121"/>
  <c r="X464" i="121"/>
  <c r="LJ464" i="121"/>
  <c r="GA464" i="121"/>
  <c r="FS464" i="121"/>
  <c r="FK464" i="121"/>
  <c r="FC464" i="121"/>
  <c r="EU464" i="121"/>
  <c r="EM464" i="121"/>
  <c r="EE464" i="121"/>
  <c r="DW464" i="121"/>
  <c r="DO464" i="121"/>
  <c r="DG464" i="121"/>
  <c r="CY464" i="121"/>
  <c r="CQ464" i="121"/>
  <c r="CI464" i="121"/>
  <c r="CA464" i="121"/>
  <c r="BS464" i="121"/>
  <c r="BK464" i="121"/>
  <c r="BC464" i="121"/>
  <c r="AU464" i="121"/>
  <c r="AM464" i="121"/>
  <c r="AE464" i="121"/>
  <c r="LI464" i="121"/>
  <c r="FZ464" i="121"/>
  <c r="FR464" i="121"/>
  <c r="FJ464" i="121"/>
  <c r="FB464" i="121"/>
  <c r="ET464" i="121"/>
  <c r="EL464" i="121"/>
  <c r="ED464" i="121"/>
  <c r="DV464" i="121"/>
  <c r="DN464" i="121"/>
  <c r="DF464" i="121"/>
  <c r="CX464" i="121"/>
  <c r="CP464" i="121"/>
  <c r="CH464" i="121"/>
  <c r="BZ464" i="121"/>
  <c r="BR464" i="121"/>
  <c r="BJ464" i="121"/>
  <c r="BB464" i="121"/>
  <c r="AT464" i="121"/>
  <c r="AL464" i="121"/>
  <c r="AD464" i="121"/>
  <c r="LP464" i="121"/>
  <c r="LH464" i="121"/>
  <c r="FY464" i="121"/>
  <c r="FQ464" i="121"/>
  <c r="FI464" i="121"/>
  <c r="FA464" i="121"/>
  <c r="ES464" i="121"/>
  <c r="EK464" i="121"/>
  <c r="EC464" i="121"/>
  <c r="DU464" i="121"/>
  <c r="DM464" i="121"/>
  <c r="DE464" i="121"/>
  <c r="CW464" i="121"/>
  <c r="CO464" i="121"/>
  <c r="CG464" i="121"/>
  <c r="BY464" i="121"/>
  <c r="BQ464" i="121"/>
  <c r="BI464" i="121"/>
  <c r="BA464" i="121"/>
  <c r="AS464" i="121"/>
  <c r="AK464" i="121"/>
  <c r="AC464" i="121"/>
  <c r="LO464" i="121"/>
  <c r="LG464" i="121"/>
  <c r="GF464" i="121"/>
  <c r="FX464" i="121"/>
  <c r="FP464" i="121"/>
  <c r="FH464" i="121"/>
  <c r="EZ464" i="121"/>
  <c r="ER464" i="121"/>
  <c r="EJ464" i="121"/>
  <c r="EB464" i="121"/>
  <c r="DT464" i="121"/>
  <c r="DL464" i="121"/>
  <c r="DD464" i="121"/>
  <c r="CV464" i="121"/>
  <c r="CN464" i="121"/>
  <c r="CF464" i="121"/>
  <c r="BX464" i="121"/>
  <c r="BP464" i="121"/>
  <c r="BH464" i="121"/>
  <c r="AZ464" i="121"/>
  <c r="AR464" i="121"/>
  <c r="AJ464" i="121"/>
  <c r="AB464" i="121"/>
  <c r="LM464" i="121"/>
  <c r="GD464" i="121"/>
  <c r="FV464" i="121"/>
  <c r="FN464" i="121"/>
  <c r="FF464" i="121"/>
  <c r="EX464" i="121"/>
  <c r="EP464" i="121"/>
  <c r="EH464" i="121"/>
  <c r="DZ464" i="121"/>
  <c r="DR464" i="121"/>
  <c r="DJ464" i="121"/>
  <c r="DB464" i="121"/>
  <c r="CT464" i="121"/>
  <c r="CL464" i="121"/>
  <c r="CD464" i="121"/>
  <c r="BV464" i="121"/>
  <c r="BN464" i="121"/>
  <c r="BF464" i="121"/>
  <c r="AX464" i="121"/>
  <c r="AP464" i="121"/>
  <c r="AH464" i="121"/>
  <c r="Z464" i="121"/>
  <c r="MN464" i="121"/>
  <c r="MA464" i="121"/>
  <c r="LS464" i="121"/>
  <c r="HX464" i="121"/>
  <c r="HP464" i="121"/>
  <c r="HH464" i="121"/>
  <c r="GZ464" i="121"/>
  <c r="GR464" i="121"/>
  <c r="GJ464" i="121"/>
  <c r="MM464" i="121"/>
  <c r="LZ464" i="121"/>
  <c r="LR464" i="121"/>
  <c r="HW464" i="121"/>
  <c r="HO464" i="121"/>
  <c r="HG464" i="121"/>
  <c r="GY464" i="121"/>
  <c r="GQ464" i="121"/>
  <c r="GI464" i="121"/>
  <c r="ML464" i="121"/>
  <c r="LY464" i="121"/>
  <c r="LQ464" i="121"/>
  <c r="HV464" i="121"/>
  <c r="HN464" i="121"/>
  <c r="HF464" i="121"/>
  <c r="GX464" i="121"/>
  <c r="GP464" i="121"/>
  <c r="GH464" i="121"/>
  <c r="MK464" i="121"/>
  <c r="LX464" i="121"/>
  <c r="HU464" i="121"/>
  <c r="HM464" i="121"/>
  <c r="HE464" i="121"/>
  <c r="GW464" i="121"/>
  <c r="GO464" i="121"/>
  <c r="GG464" i="121"/>
  <c r="ME464" i="121"/>
  <c r="LW464" i="121"/>
  <c r="HT464" i="121"/>
  <c r="HL464" i="121"/>
  <c r="HD464" i="121"/>
  <c r="GV464" i="121"/>
  <c r="GN464" i="121"/>
  <c r="MC464" i="121"/>
  <c r="LU464" i="121"/>
  <c r="HR464" i="121"/>
  <c r="HJ464" i="121"/>
  <c r="HB464" i="121"/>
  <c r="GT464" i="121"/>
  <c r="GL464" i="121"/>
  <c r="AC458" i="121"/>
  <c r="AP458" i="121"/>
  <c r="BF458" i="121"/>
  <c r="BY458" i="121"/>
  <c r="CU458" i="121"/>
  <c r="DR458" i="121"/>
  <c r="EK458" i="121"/>
  <c r="FO458" i="121"/>
  <c r="GR458" i="121"/>
  <c r="AL462" i="121"/>
  <c r="BR462" i="121"/>
  <c r="CX462" i="121"/>
  <c r="ED462" i="121"/>
  <c r="FJ462" i="121"/>
  <c r="GP462" i="121"/>
  <c r="HV462" i="121"/>
  <c r="LR462" i="121"/>
  <c r="AW464" i="121"/>
  <c r="CC464" i="121"/>
  <c r="DI464" i="121"/>
  <c r="EO464" i="121"/>
  <c r="FU464" i="121"/>
  <c r="HA464" i="121"/>
  <c r="DB458" i="121"/>
  <c r="GX462" i="121"/>
  <c r="GC464" i="121"/>
  <c r="AH458" i="121"/>
  <c r="CG458" i="121"/>
  <c r="DZ458" i="121"/>
  <c r="CB462" i="121"/>
  <c r="EN462" i="121"/>
  <c r="HK464" i="121"/>
  <c r="LT464" i="121"/>
  <c r="GE458" i="121"/>
  <c r="FW458" i="121"/>
  <c r="FL458" i="121"/>
  <c r="FA458" i="121"/>
  <c r="EQ458" i="121"/>
  <c r="EG458" i="121"/>
  <c r="DY458" i="121"/>
  <c r="DQ458" i="121"/>
  <c r="DI458" i="121"/>
  <c r="DA458" i="121"/>
  <c r="CS458" i="121"/>
  <c r="CK458" i="121"/>
  <c r="CC458" i="121"/>
  <c r="BU458" i="121"/>
  <c r="BM458" i="121"/>
  <c r="BE458" i="121"/>
  <c r="AW458" i="121"/>
  <c r="GD458" i="121"/>
  <c r="FU458" i="121"/>
  <c r="FJ458" i="121"/>
  <c r="EZ458" i="121"/>
  <c r="EO458" i="121"/>
  <c r="EF458" i="121"/>
  <c r="DX458" i="121"/>
  <c r="DP458" i="121"/>
  <c r="DH458" i="121"/>
  <c r="CZ458" i="121"/>
  <c r="CR458" i="121"/>
  <c r="CJ458" i="121"/>
  <c r="CB458" i="121"/>
  <c r="BT458" i="121"/>
  <c r="BL458" i="121"/>
  <c r="BD458" i="121"/>
  <c r="AV458" i="121"/>
  <c r="AN458" i="121"/>
  <c r="AF458" i="121"/>
  <c r="X458" i="121"/>
  <c r="GC458" i="121"/>
  <c r="FT458" i="121"/>
  <c r="FI458" i="121"/>
  <c r="EY458" i="121"/>
  <c r="EN458" i="121"/>
  <c r="EE458" i="121"/>
  <c r="DW458" i="121"/>
  <c r="DO458" i="121"/>
  <c r="DG458" i="121"/>
  <c r="CY458" i="121"/>
  <c r="CQ458" i="121"/>
  <c r="CI458" i="121"/>
  <c r="CA458" i="121"/>
  <c r="BS458" i="121"/>
  <c r="BK458" i="121"/>
  <c r="BC458" i="121"/>
  <c r="AU458" i="121"/>
  <c r="AM458" i="121"/>
  <c r="AE458" i="121"/>
  <c r="GB458" i="121"/>
  <c r="FR458" i="121"/>
  <c r="FH458" i="121"/>
  <c r="EW458" i="121"/>
  <c r="EL458" i="121"/>
  <c r="ED458" i="121"/>
  <c r="DV458" i="121"/>
  <c r="DN458" i="121"/>
  <c r="DF458" i="121"/>
  <c r="CX458" i="121"/>
  <c r="CP458" i="121"/>
  <c r="CH458" i="121"/>
  <c r="BZ458" i="121"/>
  <c r="BR458" i="121"/>
  <c r="BJ458" i="121"/>
  <c r="LL458" i="121"/>
  <c r="FZ458" i="121"/>
  <c r="FP458" i="121"/>
  <c r="FE458" i="121"/>
  <c r="ET458" i="121"/>
  <c r="EJ458" i="121"/>
  <c r="EB458" i="121"/>
  <c r="DT458" i="121"/>
  <c r="DL458" i="121"/>
  <c r="DD458" i="121"/>
  <c r="CV458" i="121"/>
  <c r="CN458" i="121"/>
  <c r="CF458" i="121"/>
  <c r="BX458" i="121"/>
  <c r="BP458" i="121"/>
  <c r="BH458" i="121"/>
  <c r="AZ458" i="121"/>
  <c r="AR458" i="121"/>
  <c r="AJ458" i="121"/>
  <c r="AB458" i="121"/>
  <c r="AS458" i="121"/>
  <c r="DU458" i="121"/>
  <c r="FX458" i="121"/>
  <c r="BZ462" i="121"/>
  <c r="EL462" i="121"/>
  <c r="LZ462" i="121"/>
  <c r="CK464" i="121"/>
  <c r="EW464" i="121"/>
  <c r="HI464" i="121"/>
  <c r="BN458" i="121"/>
  <c r="DC458" i="121"/>
  <c r="FY458" i="121"/>
  <c r="LI458" i="121"/>
  <c r="AV462" i="121"/>
  <c r="DH462" i="121"/>
  <c r="FT462" i="121"/>
  <c r="GZ462" i="121"/>
  <c r="AA464" i="121"/>
  <c r="BG464" i="121"/>
  <c r="CM464" i="121"/>
  <c r="DS464" i="121"/>
  <c r="EY464" i="121"/>
  <c r="GE464" i="121"/>
  <c r="AI458" i="121"/>
  <c r="AX458" i="121"/>
  <c r="BO458" i="121"/>
  <c r="CL458" i="121"/>
  <c r="DE458" i="121"/>
  <c r="EA458" i="121"/>
  <c r="FB458" i="121"/>
  <c r="GA458" i="121"/>
  <c r="HK458" i="121"/>
  <c r="LM458" i="121"/>
  <c r="BB462" i="121"/>
  <c r="CH462" i="121"/>
  <c r="DN462" i="121"/>
  <c r="ET462" i="121"/>
  <c r="FZ462" i="121"/>
  <c r="HF462" i="121"/>
  <c r="AG464" i="121"/>
  <c r="BM464" i="121"/>
  <c r="CS464" i="121"/>
  <c r="DY464" i="121"/>
  <c r="FE464" i="121"/>
  <c r="GK464" i="121"/>
  <c r="HQ464" i="121"/>
  <c r="LV464" i="121"/>
  <c r="AG458" i="121"/>
  <c r="BI458" i="121"/>
  <c r="ES458" i="121"/>
  <c r="Y464" i="121"/>
  <c r="Y458" i="121"/>
  <c r="AK458" i="121"/>
  <c r="AY458" i="121"/>
  <c r="BQ458" i="121"/>
  <c r="CM458" i="121"/>
  <c r="DJ458" i="121"/>
  <c r="EC458" i="121"/>
  <c r="FD458" i="121"/>
  <c r="GF458" i="121"/>
  <c r="HT458" i="121"/>
  <c r="MC458" i="121"/>
  <c r="X462" i="121"/>
  <c r="BD462" i="121"/>
  <c r="CJ462" i="121"/>
  <c r="DP462" i="121"/>
  <c r="EV462" i="121"/>
  <c r="GB462" i="121"/>
  <c r="HH462" i="121"/>
  <c r="AI464" i="121"/>
  <c r="BO464" i="121"/>
  <c r="CU464" i="121"/>
  <c r="EA464" i="121"/>
  <c r="FG464" i="121"/>
  <c r="GM464" i="121"/>
  <c r="HS464" i="121"/>
  <c r="MB464" i="121"/>
  <c r="LO462" i="121"/>
  <c r="LG462" i="121"/>
  <c r="FY462" i="121"/>
  <c r="FQ462" i="121"/>
  <c r="FI462" i="121"/>
  <c r="FA462" i="121"/>
  <c r="ES462" i="121"/>
  <c r="EK462" i="121"/>
  <c r="EC462" i="121"/>
  <c r="DU462" i="121"/>
  <c r="DM462" i="121"/>
  <c r="DE462" i="121"/>
  <c r="CW462" i="121"/>
  <c r="CO462" i="121"/>
  <c r="CG462" i="121"/>
  <c r="BY462" i="121"/>
  <c r="BQ462" i="121"/>
  <c r="BI462" i="121"/>
  <c r="BA462" i="121"/>
  <c r="AS462" i="121"/>
  <c r="AK462" i="121"/>
  <c r="AC462" i="121"/>
  <c r="LN462" i="121"/>
  <c r="GF462" i="121"/>
  <c r="FX462" i="121"/>
  <c r="FP462" i="121"/>
  <c r="FH462" i="121"/>
  <c r="EZ462" i="121"/>
  <c r="ER462" i="121"/>
  <c r="EJ462" i="121"/>
  <c r="EB462" i="121"/>
  <c r="DT462" i="121"/>
  <c r="DL462" i="121"/>
  <c r="DD462" i="121"/>
  <c r="CV462" i="121"/>
  <c r="CN462" i="121"/>
  <c r="CF462" i="121"/>
  <c r="BX462" i="121"/>
  <c r="BP462" i="121"/>
  <c r="BH462" i="121"/>
  <c r="AZ462" i="121"/>
  <c r="AR462" i="121"/>
  <c r="AJ462" i="121"/>
  <c r="AB462" i="121"/>
  <c r="LM462" i="121"/>
  <c r="GE462" i="121"/>
  <c r="FW462" i="121"/>
  <c r="FO462" i="121"/>
  <c r="FG462" i="121"/>
  <c r="EY462" i="121"/>
  <c r="EQ462" i="121"/>
  <c r="EI462" i="121"/>
  <c r="EA462" i="121"/>
  <c r="DS462" i="121"/>
  <c r="DK462" i="121"/>
  <c r="DC462" i="121"/>
  <c r="CU462" i="121"/>
  <c r="CM462" i="121"/>
  <c r="CE462" i="121"/>
  <c r="BW462" i="121"/>
  <c r="BO462" i="121"/>
  <c r="BG462" i="121"/>
  <c r="AY462" i="121"/>
  <c r="AQ462" i="121"/>
  <c r="AI462" i="121"/>
  <c r="AA462" i="121"/>
  <c r="LL462" i="121"/>
  <c r="GD462" i="121"/>
  <c r="FV462" i="121"/>
  <c r="FN462" i="121"/>
  <c r="FF462" i="121"/>
  <c r="EX462" i="121"/>
  <c r="EP462" i="121"/>
  <c r="EH462" i="121"/>
  <c r="DZ462" i="121"/>
  <c r="DR462" i="121"/>
  <c r="DJ462" i="121"/>
  <c r="DB462" i="121"/>
  <c r="CT462" i="121"/>
  <c r="CL462" i="121"/>
  <c r="CD462" i="121"/>
  <c r="BV462" i="121"/>
  <c r="BN462" i="121"/>
  <c r="BF462" i="121"/>
  <c r="AX462" i="121"/>
  <c r="AP462" i="121"/>
  <c r="AH462" i="121"/>
  <c r="Z462" i="121"/>
  <c r="LK462" i="121"/>
  <c r="GC462" i="121"/>
  <c r="FU462" i="121"/>
  <c r="FM462" i="121"/>
  <c r="FE462" i="121"/>
  <c r="EW462" i="121"/>
  <c r="EO462" i="121"/>
  <c r="EG462" i="121"/>
  <c r="DY462" i="121"/>
  <c r="DQ462" i="121"/>
  <c r="DI462" i="121"/>
  <c r="DA462" i="121"/>
  <c r="CS462" i="121"/>
  <c r="CK462" i="121"/>
  <c r="CC462" i="121"/>
  <c r="BU462" i="121"/>
  <c r="BM462" i="121"/>
  <c r="BE462" i="121"/>
  <c r="AW462" i="121"/>
  <c r="AO462" i="121"/>
  <c r="AG462" i="121"/>
  <c r="Y462" i="121"/>
  <c r="LI462" i="121"/>
  <c r="GA462" i="121"/>
  <c r="FS462" i="121"/>
  <c r="FK462" i="121"/>
  <c r="FC462" i="121"/>
  <c r="EU462" i="121"/>
  <c r="EM462" i="121"/>
  <c r="EE462" i="121"/>
  <c r="DW462" i="121"/>
  <c r="DO462" i="121"/>
  <c r="DG462" i="121"/>
  <c r="CY462" i="121"/>
  <c r="CQ462" i="121"/>
  <c r="CI462" i="121"/>
  <c r="CA462" i="121"/>
  <c r="BS462" i="121"/>
  <c r="BK462" i="121"/>
  <c r="BC462" i="121"/>
  <c r="AU462" i="121"/>
  <c r="AM462" i="121"/>
  <c r="AE462" i="121"/>
  <c r="CE458" i="121"/>
  <c r="GW458" i="121"/>
  <c r="AT462" i="121"/>
  <c r="DF462" i="121"/>
  <c r="FR462" i="121"/>
  <c r="BE464" i="121"/>
  <c r="DQ464" i="121"/>
  <c r="LN464" i="121"/>
  <c r="AT458" i="121"/>
  <c r="EV458" i="121"/>
  <c r="Z458" i="121"/>
  <c r="AL458" i="121"/>
  <c r="BA458" i="121"/>
  <c r="BV458" i="121"/>
  <c r="CO458" i="121"/>
  <c r="DK458" i="121"/>
  <c r="EH458" i="121"/>
  <c r="FG458" i="121"/>
  <c r="GG458" i="121"/>
  <c r="HV458" i="121"/>
  <c r="MK458" i="121"/>
  <c r="DL460" i="121"/>
  <c r="AD462" i="121"/>
  <c r="BJ462" i="121"/>
  <c r="CP462" i="121"/>
  <c r="DV462" i="121"/>
  <c r="FB462" i="121"/>
  <c r="GH462" i="121"/>
  <c r="HN462" i="121"/>
  <c r="LJ462" i="121"/>
  <c r="AO464" i="121"/>
  <c r="BU464" i="121"/>
  <c r="DA464" i="121"/>
  <c r="EG464" i="121"/>
  <c r="FM464" i="121"/>
  <c r="GS464" i="121"/>
  <c r="HY464" i="121"/>
  <c r="MD464" i="121"/>
  <c r="HF461" i="121"/>
  <c r="FU461" i="121"/>
  <c r="EO461" i="121"/>
  <c r="DY461" i="121"/>
  <c r="CS461" i="121"/>
  <c r="BM461" i="121"/>
  <c r="AG461" i="121"/>
  <c r="GX461" i="121"/>
  <c r="FQ461" i="121"/>
  <c r="EK461" i="121"/>
  <c r="DU461" i="121"/>
  <c r="CO461" i="121"/>
  <c r="BI461" i="121"/>
  <c r="AC461" i="121"/>
  <c r="GS461" i="121"/>
  <c r="FM461" i="121"/>
  <c r="DQ461" i="121"/>
  <c r="CK461" i="121"/>
  <c r="BE461" i="121"/>
  <c r="Y461" i="121"/>
  <c r="GO461" i="121"/>
  <c r="FI461" i="121"/>
  <c r="DM461" i="121"/>
  <c r="CG461" i="121"/>
  <c r="BA461" i="121"/>
  <c r="LR461" i="121"/>
  <c r="GG461" i="121"/>
  <c r="FA461" i="121"/>
  <c r="DE461" i="121"/>
  <c r="BY461" i="121"/>
  <c r="AS461" i="121"/>
  <c r="LJ461" i="121"/>
  <c r="HV461" i="121"/>
  <c r="EW461" i="121"/>
  <c r="DA461" i="121"/>
  <c r="BU461" i="121"/>
  <c r="AO461" i="121"/>
  <c r="MK460" i="121"/>
  <c r="LY460" i="121"/>
  <c r="LQ460" i="121"/>
  <c r="LI460" i="121"/>
  <c r="JQ460" i="121"/>
  <c r="IA460" i="121"/>
  <c r="HS460" i="121"/>
  <c r="HK460" i="121"/>
  <c r="HC460" i="121"/>
  <c r="GU460" i="121"/>
  <c r="GM460" i="121"/>
  <c r="GE460" i="121"/>
  <c r="FW460" i="121"/>
  <c r="FO460" i="121"/>
  <c r="FG460" i="121"/>
  <c r="EY460" i="121"/>
  <c r="EQ460" i="121"/>
  <c r="EI460" i="121"/>
  <c r="EA460" i="121"/>
  <c r="DS460" i="121"/>
  <c r="DK460" i="121"/>
  <c r="DC460" i="121"/>
  <c r="CU460" i="121"/>
  <c r="CM460" i="121"/>
  <c r="CE460" i="121"/>
  <c r="BW460" i="121"/>
  <c r="BO460" i="121"/>
  <c r="BG460" i="121"/>
  <c r="AY460" i="121"/>
  <c r="AQ460" i="121"/>
  <c r="AI460" i="121"/>
  <c r="AA460" i="121"/>
  <c r="MH460" i="121"/>
  <c r="LX460" i="121"/>
  <c r="LP460" i="121"/>
  <c r="LH460" i="121"/>
  <c r="JI460" i="121"/>
  <c r="HZ460" i="121"/>
  <c r="HR460" i="121"/>
  <c r="HJ460" i="121"/>
  <c r="HB460" i="121"/>
  <c r="GT460" i="121"/>
  <c r="GL460" i="121"/>
  <c r="GD460" i="121"/>
  <c r="FV460" i="121"/>
  <c r="FN460" i="121"/>
  <c r="FF460" i="121"/>
  <c r="EX460" i="121"/>
  <c r="EP460" i="121"/>
  <c r="EH460" i="121"/>
  <c r="DZ460" i="121"/>
  <c r="DR460" i="121"/>
  <c r="DJ460" i="121"/>
  <c r="DB460" i="121"/>
  <c r="CT460" i="121"/>
  <c r="CL460" i="121"/>
  <c r="CD460" i="121"/>
  <c r="BV460" i="121"/>
  <c r="BN460" i="121"/>
  <c r="BF460" i="121"/>
  <c r="AX460" i="121"/>
  <c r="AP460" i="121"/>
  <c r="AH460" i="121"/>
  <c r="Z460" i="121"/>
  <c r="ME460" i="121"/>
  <c r="LW460" i="121"/>
  <c r="LO460" i="121"/>
  <c r="LG460" i="121"/>
  <c r="JA460" i="121"/>
  <c r="HY460" i="121"/>
  <c r="HQ460" i="121"/>
  <c r="HI460" i="121"/>
  <c r="HA460" i="121"/>
  <c r="GS460" i="121"/>
  <c r="GK460" i="121"/>
  <c r="GC460" i="121"/>
  <c r="FU460" i="121"/>
  <c r="FM460" i="121"/>
  <c r="FE460" i="121"/>
  <c r="EW460" i="121"/>
  <c r="EO460" i="121"/>
  <c r="EG460" i="121"/>
  <c r="DY460" i="121"/>
  <c r="DQ460" i="121"/>
  <c r="DI460" i="121"/>
  <c r="DA460" i="121"/>
  <c r="CS460" i="121"/>
  <c r="CK460" i="121"/>
  <c r="CC460" i="121"/>
  <c r="BU460" i="121"/>
  <c r="BM460" i="121"/>
  <c r="BE460" i="121"/>
  <c r="AW460" i="121"/>
  <c r="AO460" i="121"/>
  <c r="AG460" i="121"/>
  <c r="Y460" i="121"/>
  <c r="MT460" i="121"/>
  <c r="MD460" i="121"/>
  <c r="LV460" i="121"/>
  <c r="LN460" i="121"/>
  <c r="LE460" i="121"/>
  <c r="IS460" i="121"/>
  <c r="HX460" i="121"/>
  <c r="HP460" i="121"/>
  <c r="HH460" i="121"/>
  <c r="GZ460" i="121"/>
  <c r="GR460" i="121"/>
  <c r="GJ460" i="121"/>
  <c r="GB460" i="121"/>
  <c r="FT460" i="121"/>
  <c r="FL460" i="121"/>
  <c r="FD460" i="121"/>
  <c r="EV460" i="121"/>
  <c r="EN460" i="121"/>
  <c r="EF460" i="121"/>
  <c r="DX460" i="121"/>
  <c r="DP460" i="121"/>
  <c r="DH460" i="121"/>
  <c r="CZ460" i="121"/>
  <c r="CR460" i="121"/>
  <c r="CJ460" i="121"/>
  <c r="CB460" i="121"/>
  <c r="BT460" i="121"/>
  <c r="BL460" i="121"/>
  <c r="BD460" i="121"/>
  <c r="AV460" i="121"/>
  <c r="AN460" i="121"/>
  <c r="AF460" i="121"/>
  <c r="X460" i="121"/>
  <c r="MN460" i="121"/>
  <c r="MB460" i="121"/>
  <c r="LT460" i="121"/>
  <c r="LL460" i="121"/>
  <c r="KO460" i="121"/>
  <c r="ID460" i="121"/>
  <c r="HV460" i="121"/>
  <c r="HN460" i="121"/>
  <c r="HF460" i="121"/>
  <c r="GX460" i="121"/>
  <c r="GP460" i="121"/>
  <c r="GH460" i="121"/>
  <c r="FZ460" i="121"/>
  <c r="FR460" i="121"/>
  <c r="FJ460" i="121"/>
  <c r="FB460" i="121"/>
  <c r="ET460" i="121"/>
  <c r="EL460" i="121"/>
  <c r="ED460" i="121"/>
  <c r="DV460" i="121"/>
  <c r="DN460" i="121"/>
  <c r="DF460" i="121"/>
  <c r="CX460" i="121"/>
  <c r="CP460" i="121"/>
  <c r="CH460" i="121"/>
  <c r="BZ460" i="121"/>
  <c r="BR460" i="121"/>
  <c r="BJ460" i="121"/>
  <c r="BB460" i="121"/>
  <c r="AT460" i="121"/>
  <c r="AL460" i="121"/>
  <c r="AD460" i="121"/>
  <c r="MM460" i="121"/>
  <c r="MA460" i="121"/>
  <c r="LS460" i="121"/>
  <c r="LK460" i="121"/>
  <c r="KG460" i="121"/>
  <c r="IC460" i="121"/>
  <c r="HU460" i="121"/>
  <c r="HM460" i="121"/>
  <c r="HE460" i="121"/>
  <c r="GW460" i="121"/>
  <c r="GO460" i="121"/>
  <c r="GG460" i="121"/>
  <c r="FY460" i="121"/>
  <c r="FQ460" i="121"/>
  <c r="FI460" i="121"/>
  <c r="FA460" i="121"/>
  <c r="ES460" i="121"/>
  <c r="EK460" i="121"/>
  <c r="EC460" i="121"/>
  <c r="DU460" i="121"/>
  <c r="DM460" i="121"/>
  <c r="DE460" i="121"/>
  <c r="CW460" i="121"/>
  <c r="CO460" i="121"/>
  <c r="CG460" i="121"/>
  <c r="BY460" i="121"/>
  <c r="BQ460" i="121"/>
  <c r="BI460" i="121"/>
  <c r="BA460" i="121"/>
  <c r="AS460" i="121"/>
  <c r="AK460" i="121"/>
  <c r="AC460" i="121"/>
  <c r="BC460" i="121"/>
  <c r="CI460" i="121"/>
  <c r="DO460" i="121"/>
  <c r="EU460" i="121"/>
  <c r="GA460" i="121"/>
  <c r="HG460" i="121"/>
  <c r="KW460" i="121"/>
  <c r="MO460" i="121"/>
  <c r="MG462" i="121"/>
  <c r="MO462" i="121"/>
  <c r="MM462" i="121"/>
  <c r="ML462" i="121"/>
  <c r="AB460" i="121"/>
  <c r="BH460" i="121"/>
  <c r="CN460" i="121"/>
  <c r="DT460" i="121"/>
  <c r="EZ460" i="121"/>
  <c r="GF460" i="121"/>
  <c r="HL460" i="121"/>
  <c r="LJ460" i="121"/>
  <c r="AK461" i="121"/>
  <c r="GK461" i="121"/>
  <c r="AE460" i="121"/>
  <c r="DW460" i="121"/>
  <c r="FC460" i="121"/>
  <c r="HO460" i="121"/>
  <c r="LM460" i="121"/>
  <c r="LZ461" i="121"/>
  <c r="LX458" i="121"/>
  <c r="LP458" i="121"/>
  <c r="LH458" i="121"/>
  <c r="HW458" i="121"/>
  <c r="HO458" i="121"/>
  <c r="HG458" i="121"/>
  <c r="GY458" i="121"/>
  <c r="GQ458" i="121"/>
  <c r="GI458" i="121"/>
  <c r="FS458" i="121"/>
  <c r="FK458" i="121"/>
  <c r="FC458" i="121"/>
  <c r="EU458" i="121"/>
  <c r="EM458" i="121"/>
  <c r="ME458" i="121"/>
  <c r="LW458" i="121"/>
  <c r="LO458" i="121"/>
  <c r="LG458" i="121"/>
  <c r="MD458" i="121"/>
  <c r="LV458" i="121"/>
  <c r="LN458" i="121"/>
  <c r="MA458" i="121"/>
  <c r="LS458" i="121"/>
  <c r="LK458" i="121"/>
  <c r="HR458" i="121"/>
  <c r="HJ458" i="121"/>
  <c r="HB458" i="121"/>
  <c r="GT458" i="121"/>
  <c r="GL458" i="121"/>
  <c r="FV458" i="121"/>
  <c r="FN458" i="121"/>
  <c r="FF458" i="121"/>
  <c r="EX458" i="121"/>
  <c r="EP458" i="121"/>
  <c r="LZ458" i="121"/>
  <c r="LR458" i="121"/>
  <c r="LJ458" i="121"/>
  <c r="HY458" i="121"/>
  <c r="HQ458" i="121"/>
  <c r="HI458" i="121"/>
  <c r="HA458" i="121"/>
  <c r="GS458" i="121"/>
  <c r="GK458" i="121"/>
  <c r="MC463" i="121"/>
  <c r="LU463" i="121"/>
  <c r="LM463" i="121"/>
  <c r="KK463" i="121"/>
  <c r="HZ463" i="121"/>
  <c r="HR463" i="121"/>
  <c r="HJ463" i="121"/>
  <c r="HB463" i="121"/>
  <c r="GT463" i="121"/>
  <c r="GL463" i="121"/>
  <c r="GD463" i="121"/>
  <c r="GD487" i="121" s="1"/>
  <c r="M609" i="121" s="1"/>
  <c r="FV463" i="121"/>
  <c r="FN463" i="121"/>
  <c r="FF463" i="121"/>
  <c r="EX463" i="121"/>
  <c r="EP463" i="121"/>
  <c r="EH463" i="121"/>
  <c r="DZ463" i="121"/>
  <c r="DR463" i="121"/>
  <c r="DJ463" i="121"/>
  <c r="DB463" i="121"/>
  <c r="CT463" i="121"/>
  <c r="CL463" i="121"/>
  <c r="CD463" i="121"/>
  <c r="BV463" i="121"/>
  <c r="BN463" i="121"/>
  <c r="BF463" i="121"/>
  <c r="AX463" i="121"/>
  <c r="AP463" i="121"/>
  <c r="AH463" i="121"/>
  <c r="Z463" i="121"/>
  <c r="MO463" i="121"/>
  <c r="MB463" i="121"/>
  <c r="LT463" i="121"/>
  <c r="LL463" i="121"/>
  <c r="JU463" i="121"/>
  <c r="HY463" i="121"/>
  <c r="HQ463" i="121"/>
  <c r="HI463" i="121"/>
  <c r="HA463" i="121"/>
  <c r="GS463" i="121"/>
  <c r="GK463" i="121"/>
  <c r="GC463" i="121"/>
  <c r="FU463" i="121"/>
  <c r="FM463" i="121"/>
  <c r="FE463" i="121"/>
  <c r="EW463" i="121"/>
  <c r="EO463" i="121"/>
  <c r="EG463" i="121"/>
  <c r="DY463" i="121"/>
  <c r="DQ463" i="121"/>
  <c r="DI463" i="121"/>
  <c r="DA463" i="121"/>
  <c r="CS463" i="121"/>
  <c r="CK463" i="121"/>
  <c r="CC463" i="121"/>
  <c r="BU463" i="121"/>
  <c r="BM463" i="121"/>
  <c r="BE463" i="121"/>
  <c r="AW463" i="121"/>
  <c r="AO463" i="121"/>
  <c r="AG463" i="121"/>
  <c r="Y463" i="121"/>
  <c r="MN463" i="121"/>
  <c r="MA463" i="121"/>
  <c r="LS463" i="121"/>
  <c r="LK463" i="121"/>
  <c r="JE463" i="121"/>
  <c r="HX463" i="121"/>
  <c r="HP463" i="121"/>
  <c r="HH463" i="121"/>
  <c r="GZ463" i="121"/>
  <c r="GR463" i="121"/>
  <c r="GJ463" i="121"/>
  <c r="GB463" i="121"/>
  <c r="FT463" i="121"/>
  <c r="FL463" i="121"/>
  <c r="FD463" i="121"/>
  <c r="EV463" i="121"/>
  <c r="EN463" i="121"/>
  <c r="EF463" i="121"/>
  <c r="DX463" i="121"/>
  <c r="DP463" i="121"/>
  <c r="DH463" i="121"/>
  <c r="CZ463" i="121"/>
  <c r="CR463" i="121"/>
  <c r="CJ463" i="121"/>
  <c r="CB463" i="121"/>
  <c r="BT463" i="121"/>
  <c r="BL463" i="121"/>
  <c r="BD463" i="121"/>
  <c r="AV463" i="121"/>
  <c r="AN463" i="121"/>
  <c r="AF463" i="121"/>
  <c r="X463" i="121"/>
  <c r="MM463" i="121"/>
  <c r="LZ463" i="121"/>
  <c r="LR463" i="121"/>
  <c r="LJ463" i="121"/>
  <c r="IO463" i="121"/>
  <c r="HW463" i="121"/>
  <c r="HO463" i="121"/>
  <c r="HG463" i="121"/>
  <c r="GY463" i="121"/>
  <c r="GQ463" i="121"/>
  <c r="GI463" i="121"/>
  <c r="GA463" i="121"/>
  <c r="FS463" i="121"/>
  <c r="FK463" i="121"/>
  <c r="FC463" i="121"/>
  <c r="EU463" i="121"/>
  <c r="EM463" i="121"/>
  <c r="EE463" i="121"/>
  <c r="DW463" i="121"/>
  <c r="DO463" i="121"/>
  <c r="DG463" i="121"/>
  <c r="CY463" i="121"/>
  <c r="CQ463" i="121"/>
  <c r="CI463" i="121"/>
  <c r="CA463" i="121"/>
  <c r="BS463" i="121"/>
  <c r="BK463" i="121"/>
  <c r="BC463" i="121"/>
  <c r="AU463" i="121"/>
  <c r="AM463" i="121"/>
  <c r="AE463" i="121"/>
  <c r="MK463" i="121"/>
  <c r="LX463" i="121"/>
  <c r="LP463" i="121"/>
  <c r="LH463" i="121"/>
  <c r="IC463" i="121"/>
  <c r="HU463" i="121"/>
  <c r="HM463" i="121"/>
  <c r="HE463" i="121"/>
  <c r="GW463" i="121"/>
  <c r="GO463" i="121"/>
  <c r="GG463" i="121"/>
  <c r="FY463" i="121"/>
  <c r="FQ463" i="121"/>
  <c r="FI463" i="121"/>
  <c r="FA463" i="121"/>
  <c r="ES463" i="121"/>
  <c r="EK463" i="121"/>
  <c r="EC463" i="121"/>
  <c r="DU463" i="121"/>
  <c r="DM463" i="121"/>
  <c r="DE463" i="121"/>
  <c r="CW463" i="121"/>
  <c r="CO463" i="121"/>
  <c r="CG463" i="121"/>
  <c r="BY463" i="121"/>
  <c r="BQ463" i="121"/>
  <c r="BI463" i="121"/>
  <c r="BA463" i="121"/>
  <c r="AS463" i="121"/>
  <c r="AK463" i="121"/>
  <c r="AC463" i="121"/>
  <c r="ME463" i="121"/>
  <c r="LW463" i="121"/>
  <c r="LO463" i="121"/>
  <c r="LG463" i="121"/>
  <c r="IB463" i="121"/>
  <c r="HT463" i="121"/>
  <c r="HL463" i="121"/>
  <c r="HD463" i="121"/>
  <c r="GV463" i="121"/>
  <c r="GN463" i="121"/>
  <c r="GF463" i="121"/>
  <c r="FX463" i="121"/>
  <c r="FP463" i="121"/>
  <c r="FH463" i="121"/>
  <c r="EZ463" i="121"/>
  <c r="ER463" i="121"/>
  <c r="EJ463" i="121"/>
  <c r="EB463" i="121"/>
  <c r="DT463" i="121"/>
  <c r="DL463" i="121"/>
  <c r="DD463" i="121"/>
  <c r="CV463" i="121"/>
  <c r="CN463" i="121"/>
  <c r="CF463" i="121"/>
  <c r="BX463" i="121"/>
  <c r="BP463" i="121"/>
  <c r="BH463" i="121"/>
  <c r="AZ463" i="121"/>
  <c r="AR463" i="121"/>
  <c r="AJ463" i="121"/>
  <c r="AB463" i="121"/>
  <c r="CQ460" i="121"/>
  <c r="AJ460" i="121"/>
  <c r="BP460" i="121"/>
  <c r="CV460" i="121"/>
  <c r="EB460" i="121"/>
  <c r="FH460" i="121"/>
  <c r="GN460" i="121"/>
  <c r="HT460" i="121"/>
  <c r="LR460" i="121"/>
  <c r="BQ461" i="121"/>
  <c r="BK460" i="121"/>
  <c r="GI460" i="121"/>
  <c r="HN461" i="121"/>
  <c r="AM460" i="121"/>
  <c r="BS460" i="121"/>
  <c r="CY460" i="121"/>
  <c r="EE460" i="121"/>
  <c r="FK460" i="121"/>
  <c r="GQ460" i="121"/>
  <c r="HW460" i="121"/>
  <c r="LU460" i="121"/>
  <c r="CC461" i="121"/>
  <c r="AR460" i="121"/>
  <c r="BX460" i="121"/>
  <c r="DD460" i="121"/>
  <c r="EJ460" i="121"/>
  <c r="FP460" i="121"/>
  <c r="GV460" i="121"/>
  <c r="IB460" i="121"/>
  <c r="LZ460" i="121"/>
  <c r="CW461" i="121"/>
  <c r="ES461" i="121"/>
  <c r="AW461" i="121"/>
  <c r="AU460" i="121"/>
  <c r="CA460" i="121"/>
  <c r="DG460" i="121"/>
  <c r="EM460" i="121"/>
  <c r="FS460" i="121"/>
  <c r="GY460" i="121"/>
  <c r="IK460" i="121"/>
  <c r="MC460" i="121"/>
  <c r="DI461" i="121"/>
  <c r="FE461" i="121"/>
  <c r="MK462" i="121"/>
  <c r="HK452" i="121"/>
  <c r="GK452" i="121"/>
  <c r="HQ452" i="121"/>
  <c r="JQ452" i="121"/>
  <c r="LQ452" i="121"/>
  <c r="GM452" i="121"/>
  <c r="HS452" i="121"/>
  <c r="JU452" i="121"/>
  <c r="LS452" i="121"/>
  <c r="GS452" i="121"/>
  <c r="HY452" i="121"/>
  <c r="KG452" i="121"/>
  <c r="LY452" i="121"/>
  <c r="GU452" i="121"/>
  <c r="IA452" i="121"/>
  <c r="KK452" i="121"/>
  <c r="MA452" i="121"/>
  <c r="HA452" i="121"/>
  <c r="IK452" i="121"/>
  <c r="KW452" i="121"/>
  <c r="MH452" i="121"/>
  <c r="IO452" i="121"/>
  <c r="LA452" i="121"/>
  <c r="Z452" i="121"/>
  <c r="AH452" i="121"/>
  <c r="AP452" i="121"/>
  <c r="AX452" i="121"/>
  <c r="BF452" i="121"/>
  <c r="BN452" i="121"/>
  <c r="BV452" i="121"/>
  <c r="CD452" i="121"/>
  <c r="CL452" i="121"/>
  <c r="CT452" i="121"/>
  <c r="DB452" i="121"/>
  <c r="DJ452" i="121"/>
  <c r="DR452" i="121"/>
  <c r="DZ452" i="121"/>
  <c r="EH452" i="121"/>
  <c r="EP452" i="121"/>
  <c r="EX452" i="121"/>
  <c r="FF452" i="121"/>
  <c r="FN452" i="121"/>
  <c r="FV452" i="121"/>
  <c r="GD452" i="121"/>
  <c r="GL452" i="121"/>
  <c r="GT452" i="121"/>
  <c r="HB452" i="121"/>
  <c r="HJ452" i="121"/>
  <c r="HR452" i="121"/>
  <c r="HZ452" i="121"/>
  <c r="IL452" i="121"/>
  <c r="JB452" i="121"/>
  <c r="JR452" i="121"/>
  <c r="KH452" i="121"/>
  <c r="KX452" i="121"/>
  <c r="LJ452" i="121"/>
  <c r="LR452" i="121"/>
  <c r="LZ452" i="121"/>
  <c r="MK452" i="121"/>
  <c r="AB452" i="121"/>
  <c r="AJ452" i="121"/>
  <c r="AR452" i="121"/>
  <c r="AZ452" i="121"/>
  <c r="BH452" i="121"/>
  <c r="BP452" i="121"/>
  <c r="BX452" i="121"/>
  <c r="CF452" i="121"/>
  <c r="CN452" i="121"/>
  <c r="CV452" i="121"/>
  <c r="DD452" i="121"/>
  <c r="DL452" i="121"/>
  <c r="DT452" i="121"/>
  <c r="EB452" i="121"/>
  <c r="EJ452" i="121"/>
  <c r="ER452" i="121"/>
  <c r="EZ452" i="121"/>
  <c r="FH452" i="121"/>
  <c r="FP452" i="121"/>
  <c r="FX452" i="121"/>
  <c r="FX487" i="121" s="1"/>
  <c r="GF452" i="121"/>
  <c r="GN452" i="121"/>
  <c r="GV452" i="121"/>
  <c r="HD452" i="121"/>
  <c r="HL452" i="121"/>
  <c r="HT452" i="121"/>
  <c r="IB452" i="121"/>
  <c r="IP452" i="121"/>
  <c r="JF452" i="121"/>
  <c r="JV452" i="121"/>
  <c r="KL452" i="121"/>
  <c r="LB452" i="121"/>
  <c r="LL452" i="121"/>
  <c r="LT452" i="121"/>
  <c r="MB452" i="121"/>
  <c r="MM452" i="121"/>
  <c r="AC452" i="121"/>
  <c r="AK452" i="121"/>
  <c r="AS452" i="121"/>
  <c r="BA452" i="121"/>
  <c r="BI452" i="121"/>
  <c r="BQ452" i="121"/>
  <c r="BY452" i="121"/>
  <c r="CG452" i="121"/>
  <c r="CO452" i="121"/>
  <c r="CW452" i="121"/>
  <c r="DE452" i="121"/>
  <c r="DM452" i="121"/>
  <c r="DU452" i="121"/>
  <c r="EC452" i="121"/>
  <c r="EK452" i="121"/>
  <c r="ES452" i="121"/>
  <c r="FA452" i="121"/>
  <c r="FI452" i="121"/>
  <c r="FQ452" i="121"/>
  <c r="FY452" i="121"/>
  <c r="GG452" i="121"/>
  <c r="GO452" i="121"/>
  <c r="GW452" i="121"/>
  <c r="HE452" i="121"/>
  <c r="HM452" i="121"/>
  <c r="HU452" i="121"/>
  <c r="IC452" i="121"/>
  <c r="IS452" i="121"/>
  <c r="JI452" i="121"/>
  <c r="JY452" i="121"/>
  <c r="KO452" i="121"/>
  <c r="LE452" i="121"/>
  <c r="LM452" i="121"/>
  <c r="LU452" i="121"/>
  <c r="MC452" i="121"/>
  <c r="MN452" i="121"/>
  <c r="A452" i="121"/>
  <c r="AD452" i="121"/>
  <c r="AL452" i="121"/>
  <c r="AT452" i="121"/>
  <c r="BB452" i="121"/>
  <c r="BJ452" i="121"/>
  <c r="BR452" i="121"/>
  <c r="BZ452" i="121"/>
  <c r="CH452" i="121"/>
  <c r="CP452" i="121"/>
  <c r="CX452" i="121"/>
  <c r="DF452" i="121"/>
  <c r="DN452" i="121"/>
  <c r="DV452" i="121"/>
  <c r="ED452" i="121"/>
  <c r="EL452" i="121"/>
  <c r="ET452" i="121"/>
  <c r="FB452" i="121"/>
  <c r="FJ452" i="121"/>
  <c r="FR452" i="121"/>
  <c r="FZ452" i="121"/>
  <c r="GH452" i="121"/>
  <c r="GP452" i="121"/>
  <c r="GX452" i="121"/>
  <c r="HF452" i="121"/>
  <c r="HN452" i="121"/>
  <c r="HV452" i="121"/>
  <c r="ID452" i="121"/>
  <c r="ID487" i="121" s="1"/>
  <c r="IT452" i="121"/>
  <c r="JJ452" i="121"/>
  <c r="JZ452" i="121"/>
  <c r="KP452" i="121"/>
  <c r="LF452" i="121"/>
  <c r="LN452" i="121"/>
  <c r="LV452" i="121"/>
  <c r="MD452" i="121"/>
  <c r="MO452" i="121"/>
  <c r="AE452" i="121"/>
  <c r="AM452" i="121"/>
  <c r="AU452" i="121"/>
  <c r="BC452" i="121"/>
  <c r="BK452" i="121"/>
  <c r="BS452" i="121"/>
  <c r="CA452" i="121"/>
  <c r="CI452" i="121"/>
  <c r="CQ452" i="121"/>
  <c r="CY452" i="121"/>
  <c r="DG452" i="121"/>
  <c r="DO452" i="121"/>
  <c r="DW452" i="121"/>
  <c r="EE452" i="121"/>
  <c r="EM452" i="121"/>
  <c r="EU452" i="121"/>
  <c r="FC452" i="121"/>
  <c r="FK452" i="121"/>
  <c r="FS452" i="121"/>
  <c r="GA452" i="121"/>
  <c r="GI452" i="121"/>
  <c r="GQ452" i="121"/>
  <c r="GY452" i="121"/>
  <c r="HG452" i="121"/>
  <c r="HO452" i="121"/>
  <c r="HW452" i="121"/>
  <c r="IG452" i="121"/>
  <c r="IW452" i="121"/>
  <c r="JM452" i="121"/>
  <c r="KC452" i="121"/>
  <c r="KS452" i="121"/>
  <c r="LG452" i="121"/>
  <c r="LO452" i="121"/>
  <c r="LW452" i="121"/>
  <c r="ME452" i="121"/>
  <c r="MP452" i="121"/>
  <c r="X452" i="121"/>
  <c r="AF452" i="121"/>
  <c r="AN452" i="121"/>
  <c r="AV452" i="121"/>
  <c r="BD452" i="121"/>
  <c r="BL452" i="121"/>
  <c r="BT452" i="121"/>
  <c r="CB452" i="121"/>
  <c r="CJ452" i="121"/>
  <c r="CR452" i="121"/>
  <c r="CZ452" i="121"/>
  <c r="DH452" i="121"/>
  <c r="DP452" i="121"/>
  <c r="DX452" i="121"/>
  <c r="EF452" i="121"/>
  <c r="EN452" i="121"/>
  <c r="EV452" i="121"/>
  <c r="FD452" i="121"/>
  <c r="FL452" i="121"/>
  <c r="FT452" i="121"/>
  <c r="GB452" i="121"/>
  <c r="GJ452" i="121"/>
  <c r="GR452" i="121"/>
  <c r="GZ452" i="121"/>
  <c r="HH452" i="121"/>
  <c r="HP452" i="121"/>
  <c r="HX452" i="121"/>
  <c r="IH452" i="121"/>
  <c r="IX452" i="121"/>
  <c r="JN452" i="121"/>
  <c r="KD452" i="121"/>
  <c r="KT452" i="121"/>
  <c r="LH452" i="121"/>
  <c r="LP452" i="121"/>
  <c r="LX452" i="121"/>
  <c r="MG452" i="121"/>
  <c r="J412" i="121"/>
  <c r="L412" i="121"/>
  <c r="A2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X487" i="121" s="1"/>
  <c r="O585" i="121" s="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H487" i="121" s="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E148" i="121" s="1"/>
  <c r="S138" i="121"/>
  <c r="J146" i="121"/>
  <c r="A182" i="121"/>
  <c r="J553" i="121"/>
  <c r="P128" i="121"/>
  <c r="G134" i="121"/>
  <c r="G146" i="121"/>
  <c r="M146" i="121"/>
  <c r="S146"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I103" i="121"/>
  <c r="J556" i="121"/>
  <c r="A237" i="121"/>
  <c r="N1385" i="121"/>
  <c r="EG487" i="121"/>
  <c r="N504" i="121" s="1"/>
  <c r="EO487" i="121"/>
  <c r="L600" i="121" s="1"/>
  <c r="J1414" i="121"/>
  <c r="K1395" i="121"/>
  <c r="J1452" i="121"/>
  <c r="F147" i="121"/>
  <c r="JM487" i="121"/>
  <c r="O580" i="121" s="1"/>
  <c r="O591" i="121" s="1"/>
  <c r="D151" i="121"/>
  <c r="ED487" i="121"/>
  <c r="K504" i="121" s="1"/>
  <c r="HZ487" i="121"/>
  <c r="ML487" i="121"/>
  <c r="MN487" i="121"/>
  <c r="E1167" i="121"/>
  <c r="C721" i="121"/>
  <c r="C723" i="121"/>
  <c r="D716" i="121"/>
  <c r="D723" i="121"/>
  <c r="D721" i="121"/>
  <c r="D715" i="121"/>
  <c r="E714" i="121"/>
  <c r="C716" i="121"/>
  <c r="C798" i="121"/>
  <c r="K798" i="121"/>
  <c r="MM487" i="121" l="1"/>
  <c r="EH487" i="121"/>
  <c r="O504" i="121" s="1"/>
  <c r="ET487" i="121"/>
  <c r="L601" i="121" s="1"/>
  <c r="FY487" i="121"/>
  <c r="LY487" i="121"/>
  <c r="HI487" i="121"/>
  <c r="MK487" i="121"/>
  <c r="IE487" i="121"/>
  <c r="K578" i="121" s="1"/>
  <c r="P578" i="121" s="1"/>
  <c r="IV487" i="121"/>
  <c r="M585" i="121" s="1"/>
  <c r="IC487" i="121"/>
  <c r="GB487" i="121"/>
  <c r="K609" i="121" s="1"/>
  <c r="GC487" i="121"/>
  <c r="L609" i="121" s="1"/>
  <c r="EF487" i="121"/>
  <c r="M504" i="121" s="1"/>
  <c r="FD487" i="121"/>
  <c r="L603" i="121" s="1"/>
  <c r="DT487" i="121"/>
  <c r="K543" i="121" s="1"/>
  <c r="CN487" i="121"/>
  <c r="N532" i="121" s="1"/>
  <c r="BH487" i="121"/>
  <c r="L502" i="121" s="1"/>
  <c r="AB487" i="121"/>
  <c r="O494" i="121" s="1"/>
  <c r="JR487" i="121"/>
  <c r="O581" i="121" s="1"/>
  <c r="O592" i="121" s="1"/>
  <c r="IS487" i="121"/>
  <c r="O584" i="121" s="1"/>
  <c r="GF487" i="121"/>
  <c r="O609" i="121" s="1"/>
  <c r="MF487" i="121"/>
  <c r="IB487" i="121"/>
  <c r="GX487" i="121"/>
  <c r="M554" i="121" s="1"/>
  <c r="JI487" i="121"/>
  <c r="K580" i="121" s="1"/>
  <c r="K591" i="121" s="1"/>
  <c r="FT487" i="121"/>
  <c r="M607" i="121" s="1"/>
  <c r="BX487" i="121"/>
  <c r="M535" i="121" s="1"/>
  <c r="LP487" i="121"/>
  <c r="MO487" i="121"/>
  <c r="KO487" i="121"/>
  <c r="M574" i="121" s="1"/>
  <c r="EE487" i="121"/>
  <c r="L504" i="121" s="1"/>
  <c r="ES487" i="121"/>
  <c r="K601" i="121" s="1"/>
  <c r="LX487" i="121"/>
  <c r="LE487" i="121"/>
  <c r="N577" i="121" s="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O595" i="121" s="1"/>
  <c r="KR487" i="121"/>
  <c r="K576" i="121" s="1"/>
  <c r="IY487" i="121"/>
  <c r="K582" i="121" s="1"/>
  <c r="IF487" i="121"/>
  <c r="L578" i="121" s="1"/>
  <c r="JW487" i="121"/>
  <c r="O570" i="121" s="1"/>
  <c r="KQ487" i="121"/>
  <c r="O574" i="121" s="1"/>
  <c r="IK487" i="121"/>
  <c r="L579" i="121" s="1"/>
  <c r="E149" i="121"/>
  <c r="E151" i="121" s="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N596"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N589"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M256" i="121"/>
  <c r="M272" i="121" s="1"/>
  <c r="M274" i="121" s="1"/>
  <c r="M276" i="121" s="1"/>
  <c r="P256" i="121"/>
  <c r="P272" i="121" s="1"/>
  <c r="P274" i="121" s="1"/>
  <c r="P276" i="121" s="1"/>
  <c r="L590" i="121"/>
  <c r="M596" i="121"/>
  <c r="M595" i="121"/>
  <c r="E723" i="121"/>
  <c r="E721" i="121"/>
  <c r="E715" i="121"/>
  <c r="F714" i="121"/>
  <c r="E716" i="121"/>
  <c r="D720" i="121"/>
  <c r="D725" i="121" s="1"/>
  <c r="D733" i="121" s="1"/>
  <c r="D717" i="121"/>
  <c r="P682" i="121"/>
  <c r="Q682" i="121"/>
  <c r="M590" i="121" l="1"/>
  <c r="Q683" i="121"/>
  <c r="L563" i="121"/>
  <c r="P579" i="121"/>
  <c r="K589" i="121"/>
  <c r="P585" i="121"/>
  <c r="P504" i="121"/>
  <c r="P576" i="121"/>
  <c r="M594" i="121"/>
  <c r="M593" i="121"/>
  <c r="P592" i="121"/>
  <c r="N590" i="121"/>
  <c r="M556" i="121"/>
  <c r="P581" i="121"/>
  <c r="M563" i="121"/>
  <c r="O569" i="121"/>
  <c r="K594" i="121"/>
  <c r="P574" i="121"/>
  <c r="L589" i="121"/>
  <c r="O563" i="121"/>
  <c r="Q681" i="121"/>
  <c r="L595" i="121"/>
  <c r="P543" i="121"/>
  <c r="P535" i="121"/>
  <c r="P683" i="121"/>
  <c r="P577" i="121"/>
  <c r="L594" i="121"/>
  <c r="K590" i="121"/>
  <c r="O590" i="121"/>
  <c r="N594" i="121"/>
  <c r="P681" i="121"/>
  <c r="K595" i="121"/>
  <c r="P595" i="121" s="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0" i="121" l="1"/>
  <c r="P589" i="121"/>
  <c r="L511" i="121"/>
  <c r="L517" i="121"/>
  <c r="P563" i="121"/>
  <c r="P684" i="121" s="1"/>
  <c r="O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7" i="121" l="1"/>
  <c r="K514" i="121"/>
  <c r="P505" i="121"/>
  <c r="J488" i="121" s="1"/>
  <c r="K511" i="121"/>
  <c r="K520" i="121"/>
  <c r="K526" i="121"/>
  <c r="K523" i="121"/>
  <c r="Q677" i="121"/>
  <c r="G720" i="121"/>
  <c r="G725" i="121" s="1"/>
  <c r="G733" i="121" s="1"/>
  <c r="G717" i="121"/>
  <c r="H716" i="121"/>
  <c r="H723" i="121"/>
  <c r="H721" i="121"/>
  <c r="H715" i="121"/>
  <c r="I714" i="121"/>
  <c r="P511" i="121" l="1"/>
  <c r="P512" i="121" s="1"/>
  <c r="P513" i="121" s="1"/>
  <c r="P523" i="121"/>
  <c r="P524" i="121" s="1"/>
  <c r="P525" i="121" s="1"/>
  <c r="K677" i="121"/>
  <c r="P514" i="121"/>
  <c r="L515" i="121" s="1"/>
  <c r="L516" i="121" s="1"/>
  <c r="K680" i="121"/>
  <c r="K682" i="121"/>
  <c r="P520" i="121"/>
  <c r="P521" i="121" s="1"/>
  <c r="P522" i="121" s="1"/>
  <c r="K681" i="121"/>
  <c r="K679" i="121"/>
  <c r="P526" i="121"/>
  <c r="N527" i="121" s="1"/>
  <c r="N528" i="121" s="1"/>
  <c r="K678" i="121"/>
  <c r="P517" i="121"/>
  <c r="L518" i="121" s="1"/>
  <c r="L519" i="121" s="1"/>
  <c r="J487" i="121"/>
  <c r="P508" i="121"/>
  <c r="N509" i="121" s="1"/>
  <c r="N510" i="121" s="1"/>
  <c r="H720" i="121"/>
  <c r="H725" i="121" s="1"/>
  <c r="H733" i="121" s="1"/>
  <c r="H717" i="121"/>
  <c r="I723" i="121"/>
  <c r="I721" i="121"/>
  <c r="I715" i="121"/>
  <c r="J714" i="121"/>
  <c r="I716" i="121"/>
  <c r="O527" i="121"/>
  <c r="O528" i="121" s="1"/>
  <c r="O521" i="121"/>
  <c r="O522" i="121" s="1"/>
  <c r="L521" i="121"/>
  <c r="L522" i="121" s="1"/>
  <c r="K521" i="121"/>
  <c r="K522" i="121" s="1"/>
  <c r="M521" i="121"/>
  <c r="M522" i="121" s="1"/>
  <c r="N521" i="121"/>
  <c r="N522" i="121" s="1"/>
  <c r="K518" i="121"/>
  <c r="K519" i="121" s="1"/>
  <c r="M512" i="121" l="1"/>
  <c r="M513" i="121" s="1"/>
  <c r="N512" i="121"/>
  <c r="N513" i="121" s="1"/>
  <c r="M524" i="121"/>
  <c r="M525" i="121" s="1"/>
  <c r="P527" i="121"/>
  <c r="P528" i="121" s="1"/>
  <c r="L524" i="121"/>
  <c r="L525" i="121" s="1"/>
  <c r="M527" i="121"/>
  <c r="M528" i="121" s="1"/>
  <c r="O524" i="121"/>
  <c r="O525" i="121" s="1"/>
  <c r="L512" i="121"/>
  <c r="L513" i="121" s="1"/>
  <c r="K524" i="121"/>
  <c r="K525" i="121" s="1"/>
  <c r="L527" i="121"/>
  <c r="L528" i="121" s="1"/>
  <c r="K512" i="121"/>
  <c r="K513" i="121" s="1"/>
  <c r="N524" i="121"/>
  <c r="N525" i="121" s="1"/>
  <c r="K527" i="121"/>
  <c r="K528" i="121" s="1"/>
  <c r="O512" i="121"/>
  <c r="O513" i="121" s="1"/>
  <c r="O515" i="121"/>
  <c r="O516" i="121" s="1"/>
  <c r="M518" i="121"/>
  <c r="M519" i="121" s="1"/>
  <c r="K515" i="121"/>
  <c r="K516" i="121" s="1"/>
  <c r="N515" i="121"/>
  <c r="N516" i="121" s="1"/>
  <c r="N518" i="121"/>
  <c r="N519" i="121" s="1"/>
  <c r="P518" i="121"/>
  <c r="P519" i="121" s="1"/>
  <c r="L509" i="121"/>
  <c r="L510" i="121" s="1"/>
  <c r="M509" i="121"/>
  <c r="M510" i="121" s="1"/>
  <c r="M515" i="121"/>
  <c r="M516" i="121" s="1"/>
  <c r="P509" i="121"/>
  <c r="P510" i="121" s="1"/>
  <c r="P515" i="121"/>
  <c r="P516" i="121" s="1"/>
  <c r="K509" i="121"/>
  <c r="K510" i="121" s="1"/>
  <c r="O509" i="121"/>
  <c r="O510" i="121" s="1"/>
  <c r="O518" i="121"/>
  <c r="O519"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464" i="121"/>
  <c r="L464" i="121" s="1"/>
  <c r="M464" i="121" s="1"/>
  <c r="J463" i="121"/>
  <c r="L463" i="121" s="1"/>
  <c r="M463" i="121" s="1"/>
  <c r="J462" i="121"/>
  <c r="L462" i="121" s="1"/>
  <c r="M462" i="121" s="1"/>
  <c r="J460" i="121"/>
  <c r="L460" i="121" s="1"/>
  <c r="M460" i="121" s="1"/>
  <c r="J459" i="121"/>
  <c r="L459" i="121" s="1"/>
  <c r="M459" i="121" s="1"/>
  <c r="J458" i="121"/>
  <c r="L458" i="121" s="1"/>
  <c r="M458" i="121" s="1"/>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287" i="121" s="1"/>
  <c r="P45" i="106"/>
  <c r="P88" i="121" s="1"/>
  <c r="P43" i="106"/>
  <c r="P42" i="106"/>
  <c r="P41" i="106"/>
  <c r="P40" i="106"/>
  <c r="P83" i="121" s="1"/>
  <c r="S37" i="106"/>
  <c r="L33" i="106"/>
  <c r="S19" i="106"/>
  <c r="S4" i="106"/>
  <c r="K29" i="105"/>
  <c r="K28" i="121" s="1"/>
  <c r="Q25" i="112" l="1"/>
  <c r="Q46" i="112"/>
  <c r="O1203" i="121"/>
  <c r="Q1203" i="121" s="1"/>
  <c r="P89" i="112"/>
  <c r="P1246" i="121" s="1"/>
  <c r="P1249" i="121"/>
  <c r="BC431" i="112"/>
  <c r="P1309" i="121"/>
  <c r="O215" i="112"/>
  <c r="O1372" i="121" s="1"/>
  <c r="O1373" i="121"/>
  <c r="L80" i="112"/>
  <c r="O1237" i="121"/>
  <c r="L1237" i="121" s="1"/>
  <c r="BA432" i="112"/>
  <c r="P1317" i="121"/>
  <c r="K1526" i="121" s="1"/>
  <c r="K251" i="112"/>
  <c r="K1400" i="121" s="1"/>
  <c r="K1398" i="121"/>
  <c r="O222" i="112"/>
  <c r="O1379" i="121" s="1"/>
  <c r="O1381" i="121"/>
  <c r="P27" i="112"/>
  <c r="P1184" i="121" s="1"/>
  <c r="P1178" i="121"/>
  <c r="L25" i="112"/>
  <c r="Q108" i="112"/>
  <c r="O1265" i="121"/>
  <c r="Q1265" i="121" s="1"/>
  <c r="L1182" i="121"/>
  <c r="Q1182" i="121"/>
  <c r="P55" i="112"/>
  <c r="BB426" i="112" s="1"/>
  <c r="P1235" i="121"/>
  <c r="P117" i="112"/>
  <c r="BB429" i="112" s="1"/>
  <c r="P1278" i="121"/>
  <c r="O37" i="112"/>
  <c r="O1194" i="121" s="1"/>
  <c r="O1201" i="121"/>
  <c r="P215" i="112"/>
  <c r="P207" i="112" s="1"/>
  <c r="P1373" i="121"/>
  <c r="O89" i="112"/>
  <c r="O1246" i="121" s="1"/>
  <c r="O1249" i="121"/>
  <c r="O121" i="112"/>
  <c r="O117" i="112" s="1"/>
  <c r="F122" i="107"/>
  <c r="C135" i="90"/>
  <c r="L34" i="110"/>
  <c r="M34" i="110" s="1"/>
  <c r="L32" i="110"/>
  <c r="M32" i="110" s="1"/>
  <c r="L42" i="110"/>
  <c r="M42" i="110" s="1"/>
  <c r="L38" i="110"/>
  <c r="M38" i="110" s="1"/>
  <c r="L41" i="110"/>
  <c r="M41" i="110" s="1"/>
  <c r="L33" i="110"/>
  <c r="M33" i="110" s="1"/>
  <c r="L18" i="110"/>
  <c r="M18" i="110" s="1"/>
  <c r="L48" i="110"/>
  <c r="M48" i="110" s="1"/>
  <c r="O169" i="112"/>
  <c r="AW433" i="112" s="1"/>
  <c r="BB446" i="112"/>
  <c r="P1517" i="121"/>
  <c r="K378" i="112"/>
  <c r="P1326" i="121"/>
  <c r="K1527" i="121" s="1"/>
  <c r="AV432" i="112"/>
  <c r="O1317" i="121"/>
  <c r="K384" i="112"/>
  <c r="O1533" i="121"/>
  <c r="K1533" i="121" s="1"/>
  <c r="S146" i="107"/>
  <c r="D14" i="86"/>
  <c r="E732" i="121"/>
  <c r="K732" i="121"/>
  <c r="B64" i="111"/>
  <c r="F34" i="86" s="1"/>
  <c r="C64" i="111"/>
  <c r="D64" i="111"/>
  <c r="E64" i="111"/>
  <c r="F64" i="111"/>
  <c r="H58" i="111"/>
  <c r="I90" i="111"/>
  <c r="J177" i="107"/>
  <c r="H26" i="111"/>
  <c r="I58" i="111"/>
  <c r="B90" i="111"/>
  <c r="J90" i="111"/>
  <c r="B120" i="111"/>
  <c r="I26" i="111"/>
  <c r="B58" i="111"/>
  <c r="J58" i="111"/>
  <c r="C90" i="111"/>
  <c r="K90" i="111"/>
  <c r="C120" i="111"/>
  <c r="B26" i="111"/>
  <c r="J26" i="111"/>
  <c r="C58" i="111"/>
  <c r="K58" i="111"/>
  <c r="D90" i="111"/>
  <c r="D120" i="111"/>
  <c r="G26" i="111"/>
  <c r="C26" i="111"/>
  <c r="K26" i="111"/>
  <c r="D58" i="111"/>
  <c r="E90" i="111"/>
  <c r="E120" i="111"/>
  <c r="D26" i="111"/>
  <c r="E58" i="111"/>
  <c r="F90" i="111"/>
  <c r="F120" i="111"/>
  <c r="E26" i="111"/>
  <c r="F58" i="111"/>
  <c r="G90" i="111"/>
  <c r="F26" i="111"/>
  <c r="G58" i="111"/>
  <c r="H90" i="111"/>
  <c r="B53" i="82"/>
  <c r="B731" i="121"/>
  <c r="L28" i="110"/>
  <c r="M28" i="110" s="1"/>
  <c r="L29" i="110"/>
  <c r="M29" i="110" s="1"/>
  <c r="L45" i="110"/>
  <c r="M45" i="110" s="1"/>
  <c r="L21" i="110"/>
  <c r="M21" i="110" s="1"/>
  <c r="L37" i="110"/>
  <c r="M37" i="110" s="1"/>
  <c r="L20" i="110"/>
  <c r="M20" i="110" s="1"/>
  <c r="L36" i="110"/>
  <c r="M36" i="110" s="1"/>
  <c r="L46" i="110"/>
  <c r="M46" i="110" s="1"/>
  <c r="J484" i="121"/>
  <c r="L484" i="121" s="1"/>
  <c r="M484" i="121" s="1"/>
  <c r="L39" i="110"/>
  <c r="M39" i="110" s="1"/>
  <c r="J477" i="121"/>
  <c r="L477" i="121" s="1"/>
  <c r="M477" i="121" s="1"/>
  <c r="L30" i="110"/>
  <c r="M30" i="110" s="1"/>
  <c r="L23" i="110"/>
  <c r="M23" i="110" s="1"/>
  <c r="J461" i="121"/>
  <c r="L461" i="121" s="1"/>
  <c r="M461" i="121" s="1"/>
  <c r="L47" i="110"/>
  <c r="M47" i="110" s="1"/>
  <c r="J485" i="121"/>
  <c r="L485" i="121" s="1"/>
  <c r="M485" i="121" s="1"/>
  <c r="L31" i="110"/>
  <c r="M31" i="110" s="1"/>
  <c r="J469" i="121"/>
  <c r="L469" i="121" s="1"/>
  <c r="M469" i="121" s="1"/>
  <c r="L22" i="110"/>
  <c r="M22" i="110" s="1"/>
  <c r="L44" i="110"/>
  <c r="M44"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F126" i="107"/>
  <c r="D45" i="106"/>
  <c r="D88" i="121" s="1"/>
  <c r="E38" i="107"/>
  <c r="F38" i="107" s="1"/>
  <c r="E40" i="107"/>
  <c r="F40" i="107" s="1"/>
  <c r="H15" i="100"/>
  <c r="O29" i="105"/>
  <c r="E18" i="89"/>
  <c r="J26" i="121"/>
  <c r="A307" i="121"/>
  <c r="A45" i="121"/>
  <c r="A2" i="105"/>
  <c r="A1" i="121" s="1"/>
  <c r="AZ437" i="112"/>
  <c r="P1414" i="121"/>
  <c r="AZ443" i="112"/>
  <c r="P1488" i="121"/>
  <c r="K144" i="112"/>
  <c r="O1178" i="121"/>
  <c r="O27" i="112"/>
  <c r="O1184" i="121" s="1"/>
  <c r="I61" i="115"/>
  <c r="I60" i="115"/>
  <c r="I63" i="115"/>
  <c r="I62" i="115"/>
  <c r="J251" i="112"/>
  <c r="O143" i="112"/>
  <c r="R160" i="112"/>
  <c r="R169" i="112"/>
  <c r="P37" i="112"/>
  <c r="BB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M155" i="110" s="1"/>
  <c r="JY49" i="110"/>
  <c r="L134" i="110" s="1"/>
  <c r="KC49" i="110"/>
  <c r="K133" i="110" s="1"/>
  <c r="KG49" i="110"/>
  <c r="O133" i="110" s="1"/>
  <c r="KK49" i="110"/>
  <c r="N135" i="110" s="1"/>
  <c r="KO49" i="110"/>
  <c r="M136" i="110" s="1"/>
  <c r="KS49" i="110"/>
  <c r="L138" i="110" s="1"/>
  <c r="KW49" i="110"/>
  <c r="K137" i="110" s="1"/>
  <c r="LA49" i="110"/>
  <c r="O137" i="110" s="1"/>
  <c r="O156"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BB427" i="112"/>
  <c r="BA427" i="112"/>
  <c r="AZ427" i="112"/>
  <c r="AW435" i="112"/>
  <c r="BC427" i="112"/>
  <c r="AV435" i="112"/>
  <c r="P20" i="112"/>
  <c r="P1177" i="121" s="1"/>
  <c r="O100" i="112"/>
  <c r="O1257" i="121" s="1"/>
  <c r="AX431" i="112"/>
  <c r="AW431" i="112"/>
  <c r="AV431" i="112"/>
  <c r="BA435" i="112"/>
  <c r="AZ435" i="112"/>
  <c r="AJ456" i="112"/>
  <c r="K382" i="112"/>
  <c r="P239" i="112"/>
  <c r="P1396" i="121" s="1"/>
  <c r="K307" i="112"/>
  <c r="K145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O78" i="112"/>
  <c r="P100" i="112"/>
  <c r="P1257" i="121" s="1"/>
  <c r="P143" i="112"/>
  <c r="BB431" i="112"/>
  <c r="BA431" i="112"/>
  <c r="AZ431" i="112"/>
  <c r="AJ457" i="112"/>
  <c r="AZ436" i="112"/>
  <c r="BA436" i="112"/>
  <c r="J383" i="112"/>
  <c r="J1532" i="121" s="1"/>
  <c r="AI456" i="112"/>
  <c r="AJ449" i="112"/>
  <c r="AY431" i="112"/>
  <c r="AI458"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E39" i="107"/>
  <c r="F124" i="107"/>
  <c r="AV433" i="112" l="1"/>
  <c r="O207" i="112"/>
  <c r="O212" i="112"/>
  <c r="O1369" i="121" s="1"/>
  <c r="AW425" i="112"/>
  <c r="AW427" i="112"/>
  <c r="AV427" i="112"/>
  <c r="AX427" i="112"/>
  <c r="AY427" i="112"/>
  <c r="O20" i="112"/>
  <c r="O1177" i="121" s="1"/>
  <c r="J378" i="112"/>
  <c r="AZ429" i="112"/>
  <c r="BA429" i="112"/>
  <c r="AY425" i="112"/>
  <c r="AV425" i="112"/>
  <c r="AZ426" i="112"/>
  <c r="BA426" i="112"/>
  <c r="P212" i="112"/>
  <c r="P1372" i="121"/>
  <c r="BC425" i="112"/>
  <c r="P1194" i="121"/>
  <c r="Q1201" i="121"/>
  <c r="L1194" i="121"/>
  <c r="J1400" i="121"/>
  <c r="O238" i="112"/>
  <c r="J382" i="112" s="1"/>
  <c r="J1531" i="121" s="1"/>
  <c r="O55" i="112"/>
  <c r="O1212" i="121" s="1"/>
  <c r="O1235" i="121"/>
  <c r="BC429" i="112"/>
  <c r="P1274" i="121"/>
  <c r="BA425" i="112"/>
  <c r="AZ425" i="112"/>
  <c r="BC426" i="112"/>
  <c r="P1212" i="121"/>
  <c r="O1326" i="121"/>
  <c r="O1274" i="121"/>
  <c r="AW429" i="112"/>
  <c r="AY429" i="112"/>
  <c r="AV429" i="112"/>
  <c r="AX429" i="112"/>
  <c r="O1278" i="121"/>
  <c r="C732" i="121"/>
  <c r="F14" i="86"/>
  <c r="E41" i="107"/>
  <c r="J150" i="121"/>
  <c r="G150" i="121"/>
  <c r="G148" i="121"/>
  <c r="G41" i="107"/>
  <c r="G37" i="107" s="1"/>
  <c r="J310" i="112"/>
  <c r="O1364" i="121"/>
  <c r="P310" i="112"/>
  <c r="P1364" i="121"/>
  <c r="B764" i="121"/>
  <c r="R25" i="111"/>
  <c r="E34" i="86"/>
  <c r="R24" i="111"/>
  <c r="R23" i="111"/>
  <c r="R29" i="111"/>
  <c r="R31" i="111"/>
  <c r="R37" i="111"/>
  <c r="R34" i="111"/>
  <c r="R36" i="111"/>
  <c r="D34" i="86"/>
  <c r="J732" i="121"/>
  <c r="R27" i="111"/>
  <c r="C14" i="86"/>
  <c r="B732" i="121"/>
  <c r="R26" i="111"/>
  <c r="R22" i="111"/>
  <c r="R21" i="111"/>
  <c r="B44" i="111"/>
  <c r="G14" i="86"/>
  <c r="F732" i="121"/>
  <c r="C54" i="86"/>
  <c r="F764" i="121"/>
  <c r="H34" i="86"/>
  <c r="D764" i="121"/>
  <c r="R35" i="111"/>
  <c r="I47" i="106" s="1"/>
  <c r="I90" i="121" s="1"/>
  <c r="E14" i="86"/>
  <c r="D732" i="121"/>
  <c r="R33" i="111"/>
  <c r="C34" i="86"/>
  <c r="I732" i="121"/>
  <c r="H14" i="86"/>
  <c r="G732" i="121"/>
  <c r="I14" i="86"/>
  <c r="H732" i="121"/>
  <c r="R32" i="111"/>
  <c r="R40" i="111"/>
  <c r="R28" i="111"/>
  <c r="R38" i="111"/>
  <c r="I34" i="86"/>
  <c r="E764" i="121"/>
  <c r="R39" i="111"/>
  <c r="R30" i="111"/>
  <c r="G34" i="86"/>
  <c r="C764" i="121"/>
  <c r="B38" i="87"/>
  <c r="J790" i="121"/>
  <c r="B36" i="87"/>
  <c r="H790" i="121"/>
  <c r="E65" i="82"/>
  <c r="B23" i="87"/>
  <c r="E758" i="121"/>
  <c r="G45" i="82"/>
  <c r="B15" i="87"/>
  <c r="G726" i="121"/>
  <c r="B41" i="87"/>
  <c r="C820" i="121"/>
  <c r="B30" i="87"/>
  <c r="B790" i="121"/>
  <c r="B34" i="87"/>
  <c r="F790" i="121"/>
  <c r="C45" i="82"/>
  <c r="B11" i="87"/>
  <c r="C726" i="121"/>
  <c r="G65" i="82"/>
  <c r="B25" i="87"/>
  <c r="G758" i="121"/>
  <c r="B42" i="87"/>
  <c r="D820" i="121"/>
  <c r="B39" i="87"/>
  <c r="K790" i="121"/>
  <c r="I65" i="82"/>
  <c r="B27" i="87"/>
  <c r="I758" i="121"/>
  <c r="B14" i="87"/>
  <c r="F45" i="82"/>
  <c r="F726" i="121"/>
  <c r="B12" i="87"/>
  <c r="D45" i="82"/>
  <c r="D726" i="121"/>
  <c r="B32" i="87"/>
  <c r="D790" i="121"/>
  <c r="B31" i="87"/>
  <c r="C790" i="121"/>
  <c r="B35" i="87"/>
  <c r="G790" i="121"/>
  <c r="B43" i="87"/>
  <c r="E820" i="121"/>
  <c r="K65" i="82"/>
  <c r="B29" i="87"/>
  <c r="K758" i="121"/>
  <c r="J65" i="82"/>
  <c r="B28" i="87"/>
  <c r="J758" i="121"/>
  <c r="H45" i="82"/>
  <c r="B16" i="87"/>
  <c r="H726" i="121"/>
  <c r="B24" i="87"/>
  <c r="F65" i="82"/>
  <c r="F758" i="121"/>
  <c r="B33" i="87"/>
  <c r="E790" i="121"/>
  <c r="C65" i="82"/>
  <c r="B21" i="87"/>
  <c r="C758" i="121"/>
  <c r="B20" i="87"/>
  <c r="B65" i="82"/>
  <c r="B758" i="121"/>
  <c r="E45" i="82"/>
  <c r="B13" i="87"/>
  <c r="E726" i="121"/>
  <c r="B22" i="87"/>
  <c r="D65" i="82"/>
  <c r="D758" i="121"/>
  <c r="B18" i="87"/>
  <c r="J45" i="82"/>
  <c r="J726" i="121"/>
  <c r="I45" i="82"/>
  <c r="B17" i="87"/>
  <c r="I726" i="121"/>
  <c r="B37" i="87"/>
  <c r="I790" i="121"/>
  <c r="B44" i="87"/>
  <c r="F820" i="121"/>
  <c r="K45" i="82"/>
  <c r="B19" i="87"/>
  <c r="K726" i="121"/>
  <c r="B10" i="87"/>
  <c r="B45" i="82"/>
  <c r="B726" i="121"/>
  <c r="C75" i="100"/>
  <c r="B40" i="111"/>
  <c r="B40" i="87"/>
  <c r="B820" i="121"/>
  <c r="B26" i="87"/>
  <c r="H65" i="82"/>
  <c r="H758" i="121"/>
  <c r="C53" i="82"/>
  <c r="C731" i="121"/>
  <c r="K156" i="110"/>
  <c r="M158" i="110"/>
  <c r="K115" i="110"/>
  <c r="M487" i="121"/>
  <c r="M488" i="121" s="1"/>
  <c r="M49" i="110"/>
  <c r="M50" i="110" s="1"/>
  <c r="B715" i="121" s="1"/>
  <c r="N28" i="121"/>
  <c r="Q672" i="121"/>
  <c r="P4" i="110"/>
  <c r="O28" i="121"/>
  <c r="P442" i="121"/>
  <c r="P141" i="112"/>
  <c r="P1300" i="121"/>
  <c r="O141" i="112"/>
  <c r="O1300" i="121"/>
  <c r="AZ442" i="112"/>
  <c r="P1480" i="121"/>
  <c r="A123" i="110"/>
  <c r="O1488" i="121"/>
  <c r="R1488" i="121" s="1"/>
  <c r="A561" i="121"/>
  <c r="M115" i="110"/>
  <c r="P94" i="110"/>
  <c r="O121" i="110"/>
  <c r="O118" i="110"/>
  <c r="P167" i="110"/>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AY424" i="112"/>
  <c r="AW424" i="112"/>
  <c r="AX424"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AV424" i="112" l="1"/>
  <c r="J1459" i="121"/>
  <c r="O1395" i="121"/>
  <c r="L1395" i="121" s="1"/>
  <c r="N228" i="112"/>
  <c r="J307" i="112"/>
  <c r="J1456" i="121" s="1"/>
  <c r="J303" i="112"/>
  <c r="AW436" i="112"/>
  <c r="O239" i="112"/>
  <c r="O1396" i="121" s="1"/>
  <c r="L238" i="112"/>
  <c r="AV436" i="112"/>
  <c r="AI457" i="112"/>
  <c r="AV426" i="112"/>
  <c r="AW426" i="112"/>
  <c r="AX426" i="112"/>
  <c r="AY426" i="112"/>
  <c r="P1369" i="121"/>
  <c r="K1530" i="121" s="1"/>
  <c r="K1529" i="121" s="1"/>
  <c r="K306" i="112"/>
  <c r="K1455" i="121" s="1"/>
  <c r="K381" i="112"/>
  <c r="K380" i="112" s="1"/>
  <c r="G43" i="107"/>
  <c r="C49" i="107"/>
  <c r="G146" i="107"/>
  <c r="J149" i="121"/>
  <c r="G149" i="121"/>
  <c r="F39" i="107"/>
  <c r="F37" i="107" s="1"/>
  <c r="J148" i="121"/>
  <c r="J380" i="112"/>
  <c r="J1529" i="121" s="1"/>
  <c r="J1530" i="121"/>
  <c r="P303" i="112"/>
  <c r="P1459" i="121"/>
  <c r="K375" i="112"/>
  <c r="B744" i="121"/>
  <c r="C44" i="111"/>
  <c r="D734" i="121"/>
  <c r="D738" i="121"/>
  <c r="K797" i="121"/>
  <c r="K801" i="121"/>
  <c r="G766" i="121"/>
  <c r="G770" i="121"/>
  <c r="G738" i="121"/>
  <c r="G734" i="121"/>
  <c r="H766" i="121"/>
  <c r="H770" i="121"/>
  <c r="C10" i="86"/>
  <c r="B740" i="121"/>
  <c r="H738" i="121"/>
  <c r="H734" i="121"/>
  <c r="C797" i="121"/>
  <c r="C801" i="121"/>
  <c r="K738" i="121"/>
  <c r="K734" i="121"/>
  <c r="J734" i="121"/>
  <c r="J738" i="121"/>
  <c r="E734" i="121"/>
  <c r="E738" i="121"/>
  <c r="I766" i="121"/>
  <c r="I770" i="121"/>
  <c r="F797" i="121"/>
  <c r="F801" i="121"/>
  <c r="H797" i="121"/>
  <c r="H801" i="121"/>
  <c r="E797" i="121"/>
  <c r="E801" i="121"/>
  <c r="C827" i="121"/>
  <c r="C831" i="121"/>
  <c r="G797" i="121"/>
  <c r="G801" i="121"/>
  <c r="F766" i="121"/>
  <c r="F770" i="121"/>
  <c r="C40" i="111"/>
  <c r="C766" i="121"/>
  <c r="C770" i="121"/>
  <c r="D797" i="121"/>
  <c r="D801" i="121"/>
  <c r="D827" i="121"/>
  <c r="D831" i="121"/>
  <c r="E770" i="121"/>
  <c r="E766" i="121"/>
  <c r="J797" i="121"/>
  <c r="J801" i="121"/>
  <c r="K770" i="121"/>
  <c r="K766" i="121"/>
  <c r="B827" i="121"/>
  <c r="B831" i="121"/>
  <c r="F831" i="121"/>
  <c r="F827" i="121"/>
  <c r="I734" i="121"/>
  <c r="I738" i="121"/>
  <c r="D766" i="121"/>
  <c r="D770" i="121"/>
  <c r="F734" i="121"/>
  <c r="F738" i="121"/>
  <c r="C734" i="121"/>
  <c r="C738" i="121"/>
  <c r="B797" i="121"/>
  <c r="B801" i="121"/>
  <c r="I797" i="121"/>
  <c r="I801" i="121"/>
  <c r="B766" i="121"/>
  <c r="B770" i="121"/>
  <c r="J766" i="121"/>
  <c r="J770" i="121"/>
  <c r="E827" i="121"/>
  <c r="E831" i="121"/>
  <c r="D53" i="82"/>
  <c r="D731" i="121"/>
  <c r="Q161" i="110"/>
  <c r="Q599" i="121" s="1"/>
  <c r="AD108" i="107"/>
  <c r="P152" i="110"/>
  <c r="Q169" i="110"/>
  <c r="Q607" i="121" s="1"/>
  <c r="Q165" i="110"/>
  <c r="Q603" i="121" s="1"/>
  <c r="B15" i="111"/>
  <c r="H183" i="110"/>
  <c r="H621" i="121" s="1"/>
  <c r="P621" i="121" s="1"/>
  <c r="P1298" i="121"/>
  <c r="BC430" i="112"/>
  <c r="BC449" i="112" s="1"/>
  <c r="BB430" i="112"/>
  <c r="BB449" i="112" s="1"/>
  <c r="BA430" i="112"/>
  <c r="AZ430" i="112"/>
  <c r="O1298" i="121"/>
  <c r="AY430" i="112"/>
  <c r="AX430" i="112"/>
  <c r="AV430" i="112"/>
  <c r="AW430" i="112"/>
  <c r="Q166" i="110"/>
  <c r="Q604" i="121" s="1"/>
  <c r="P121" i="110"/>
  <c r="Q171" i="110"/>
  <c r="Q609" i="121" s="1"/>
  <c r="F57" i="89"/>
  <c r="P118" i="110"/>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AV438" i="112"/>
  <c r="O286" i="112"/>
  <c r="I286" i="112"/>
  <c r="AW438" i="112"/>
  <c r="E274" i="112"/>
  <c r="AY446" i="112"/>
  <c r="AX446" i="112"/>
  <c r="I368" i="112"/>
  <c r="H14" i="111"/>
  <c r="Q167" i="110"/>
  <c r="Q605" i="121" s="1"/>
  <c r="P157" i="110"/>
  <c r="K65" i="110"/>
  <c r="P63" i="110"/>
  <c r="Q164" i="110"/>
  <c r="Q602" i="121" s="1"/>
  <c r="K170" i="110"/>
  <c r="P168" i="110"/>
  <c r="Q163" i="110"/>
  <c r="Q601" i="121" s="1"/>
  <c r="P125" i="110"/>
  <c r="P131" i="110"/>
  <c r="P155" i="110"/>
  <c r="P111" i="110"/>
  <c r="P158" i="110"/>
  <c r="AX449" i="112" l="1"/>
  <c r="AY449" i="112"/>
  <c r="AW449" i="112"/>
  <c r="BA449" i="112"/>
  <c r="J41" i="107"/>
  <c r="J146" i="107" s="1"/>
  <c r="J162" i="107" s="1"/>
  <c r="J164" i="107" s="1"/>
  <c r="J166" i="107" s="1"/>
  <c r="J151" i="121"/>
  <c r="J256" i="121" s="1"/>
  <c r="J272" i="121" s="1"/>
  <c r="J274" i="121" s="1"/>
  <c r="J276" i="121" s="1"/>
  <c r="I104" i="121"/>
  <c r="J176" i="107"/>
  <c r="J178" i="107" s="1"/>
  <c r="J180" i="107" s="1"/>
  <c r="I61" i="106"/>
  <c r="C18" i="100"/>
  <c r="L34" i="106"/>
  <c r="B4" i="82"/>
  <c r="G151" i="121"/>
  <c r="H18" i="100"/>
  <c r="B58" i="107"/>
  <c r="F55" i="107"/>
  <c r="C52" i="100"/>
  <c r="P1452" i="121"/>
  <c r="AJ459" i="112"/>
  <c r="AZ440" i="112"/>
  <c r="AZ449" i="112" s="1"/>
  <c r="P407" i="112" s="1"/>
  <c r="C744" i="121"/>
  <c r="D44" i="111"/>
  <c r="C740" i="121"/>
  <c r="D40" i="111"/>
  <c r="E10" i="86" s="1"/>
  <c r="D10" i="86"/>
  <c r="E53" i="82"/>
  <c r="E731" i="121"/>
  <c r="M76" i="110"/>
  <c r="D15" i="111"/>
  <c r="P183" i="110"/>
  <c r="F15" i="111"/>
  <c r="E15" i="111"/>
  <c r="C15" i="111"/>
  <c r="B716" i="121"/>
  <c r="B16" i="111"/>
  <c r="B17" i="111" s="1"/>
  <c r="G15" i="111"/>
  <c r="AV439" i="112"/>
  <c r="O1435" i="121"/>
  <c r="AZ439" i="112"/>
  <c r="P1435" i="121"/>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E3" i="86" l="1"/>
  <c r="C159" i="121"/>
  <c r="G153" i="121"/>
  <c r="G256" i="121"/>
  <c r="J286" i="121" s="1"/>
  <c r="J288" i="121" s="1"/>
  <c r="J290" i="121" s="1"/>
  <c r="J293" i="121" s="1"/>
  <c r="P95" i="121"/>
  <c r="P94" i="121"/>
  <c r="I105" i="121"/>
  <c r="L77" i="121"/>
  <c r="L78" i="121" s="1"/>
  <c r="L35" i="106"/>
  <c r="P52" i="106"/>
  <c r="I62" i="106"/>
  <c r="P47" i="106" s="1"/>
  <c r="P90" i="121" s="1"/>
  <c r="P51" i="106"/>
  <c r="J183" i="107"/>
  <c r="B15" i="82"/>
  <c r="G147" i="121"/>
  <c r="B717" i="121"/>
  <c r="B720" i="121" s="1"/>
  <c r="B725" i="121" s="1"/>
  <c r="B22" i="111"/>
  <c r="P6" i="112"/>
  <c r="P1556" i="121"/>
  <c r="P1163" i="121" s="1"/>
  <c r="D744" i="121"/>
  <c r="E44" i="111"/>
  <c r="D740" i="121"/>
  <c r="E40" i="111"/>
  <c r="F10" i="86" s="1"/>
  <c r="F53" i="82"/>
  <c r="F731" i="121"/>
  <c r="D16" i="111"/>
  <c r="D17" i="111" s="1"/>
  <c r="D20" i="111" s="1"/>
  <c r="H16" i="111"/>
  <c r="H17" i="111" s="1"/>
  <c r="H20" i="111" s="1"/>
  <c r="C53" i="100"/>
  <c r="G16" i="111"/>
  <c r="G17" i="111" s="1"/>
  <c r="G20" i="111" s="1"/>
  <c r="F16" i="111"/>
  <c r="F17" i="111" s="1"/>
  <c r="F20" i="111" s="1"/>
  <c r="C16" i="111"/>
  <c r="C17" i="111" s="1"/>
  <c r="C20" i="111" s="1"/>
  <c r="E16" i="111"/>
  <c r="E17" i="111" s="1"/>
  <c r="E20" i="111" s="1"/>
  <c r="AV449" i="112"/>
  <c r="O407" i="112" s="1"/>
  <c r="P277" i="121"/>
  <c r="P278" i="121" s="1"/>
  <c r="P280" i="121" s="1"/>
  <c r="F158" i="121"/>
  <c r="J159" i="121"/>
  <c r="J277" i="121"/>
  <c r="J278" i="121" s="1"/>
  <c r="J280" i="121" s="1"/>
  <c r="F159" i="121"/>
  <c r="M167" i="107"/>
  <c r="M168" i="107" s="1"/>
  <c r="M170" i="107" s="1"/>
  <c r="M277" i="121"/>
  <c r="M278" i="121" s="1"/>
  <c r="M280" i="121" s="1"/>
  <c r="E174" i="90"/>
  <c r="F49" i="107"/>
  <c r="F58" i="107"/>
  <c r="K179" i="110"/>
  <c r="J49" i="107"/>
  <c r="J58" i="107"/>
  <c r="K6" i="111"/>
  <c r="L4" i="95"/>
  <c r="B20" i="111"/>
  <c r="C54" i="100"/>
  <c r="J4" i="91"/>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P96" i="121" l="1"/>
  <c r="P53" i="106"/>
  <c r="B168" i="121"/>
  <c r="P167" i="121" s="1"/>
  <c r="F165" i="121"/>
  <c r="H22" i="111"/>
  <c r="B733" i="121"/>
  <c r="B734" i="121"/>
  <c r="B738" i="121"/>
  <c r="D22" i="111"/>
  <c r="C22" i="111"/>
  <c r="Q662" i="121"/>
  <c r="Q224" i="110"/>
  <c r="Q232" i="110" s="1"/>
  <c r="P233" i="110" s="1"/>
  <c r="B722" i="121"/>
  <c r="B739" i="121" s="1"/>
  <c r="E22" i="111"/>
  <c r="G22" i="111"/>
  <c r="K8" i="111"/>
  <c r="F22" i="111"/>
  <c r="O1556" i="121"/>
  <c r="O1163" i="121" s="1"/>
  <c r="O6" i="112"/>
  <c r="E744" i="121"/>
  <c r="F44" i="111"/>
  <c r="E740" i="121"/>
  <c r="F40" i="111"/>
  <c r="G10" i="86" s="1"/>
  <c r="G53" i="82"/>
  <c r="G731" i="121"/>
  <c r="J105" i="112"/>
  <c r="J1262" i="121" s="1"/>
  <c r="F243" i="121"/>
  <c r="E165" i="121"/>
  <c r="G164" i="121" s="1"/>
  <c r="D258" i="121"/>
  <c r="H1481" i="121"/>
  <c r="L1029" i="121"/>
  <c r="L1027" i="121"/>
  <c r="L1028" i="121" s="1"/>
  <c r="J158" i="121"/>
  <c r="E197" i="121"/>
  <c r="G258" i="121"/>
  <c r="P158" i="121"/>
  <c r="J170" i="107"/>
  <c r="J171" i="107" s="1"/>
  <c r="J187"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J167" i="121" l="1"/>
  <c r="F168" i="121"/>
  <c r="F167" i="121"/>
  <c r="J168" i="121"/>
  <c r="J189" i="107"/>
  <c r="M189" i="107" s="1"/>
  <c r="J297" i="121"/>
  <c r="O225" i="110"/>
  <c r="B21" i="111"/>
  <c r="K21" i="111" s="1"/>
  <c r="F241" i="121"/>
  <c r="F240" i="121"/>
  <c r="B721" i="121"/>
  <c r="F131" i="107"/>
  <c r="F130" i="107"/>
  <c r="Q251" i="110"/>
  <c r="O226" i="110"/>
  <c r="O664" i="121"/>
  <c r="Q670" i="121"/>
  <c r="O663" i="121"/>
  <c r="I22" i="111"/>
  <c r="N232" i="110"/>
  <c r="F744" i="121"/>
  <c r="G44" i="111"/>
  <c r="F740" i="121"/>
  <c r="G40" i="111"/>
  <c r="H53" i="82"/>
  <c r="H731" i="121"/>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99" i="121" l="1"/>
  <c r="J301" i="121" s="1"/>
  <c r="E218" i="121" s="1"/>
  <c r="J218" i="121" s="1"/>
  <c r="J191" i="107"/>
  <c r="J22" i="111"/>
  <c r="Q689" i="121"/>
  <c r="P671" i="121"/>
  <c r="N670" i="121"/>
  <c r="B39" i="111"/>
  <c r="C21" i="111"/>
  <c r="E21" i="111"/>
  <c r="F21" i="111"/>
  <c r="D21" i="111"/>
  <c r="G21" i="111"/>
  <c r="H21" i="111"/>
  <c r="I21" i="111"/>
  <c r="J21" i="111"/>
  <c r="B25" i="111"/>
  <c r="G744" i="121"/>
  <c r="H44" i="111"/>
  <c r="G740" i="121"/>
  <c r="H40" i="111"/>
  <c r="I10" i="86" s="1"/>
  <c r="H10" i="86"/>
  <c r="I53" i="82"/>
  <c r="I731" i="121"/>
  <c r="J1231" i="121"/>
  <c r="J76" i="112"/>
  <c r="J1233" i="121" s="1"/>
  <c r="E127" i="107"/>
  <c r="A127" i="107" s="1"/>
  <c r="C46" i="111"/>
  <c r="B55" i="111"/>
  <c r="F33" i="86" s="1"/>
  <c r="B53" i="111"/>
  <c r="B47" i="111"/>
  <c r="B48" i="111"/>
  <c r="K17" i="111"/>
  <c r="K20" i="111" s="1"/>
  <c r="C21" i="86" l="1"/>
  <c r="D21" i="86" s="1"/>
  <c r="E21" i="86" s="1"/>
  <c r="F21" i="86" s="1"/>
  <c r="G21" i="86" s="1"/>
  <c r="H21" i="86" s="1"/>
  <c r="I21" i="86" s="1"/>
  <c r="I10" i="105"/>
  <c r="L94" i="121"/>
  <c r="N94" i="121" s="1"/>
  <c r="I9" i="121"/>
  <c r="L95" i="121"/>
  <c r="N95" i="121" s="1"/>
  <c r="E108" i="107"/>
  <c r="J108" i="107" s="1"/>
  <c r="L51" i="106"/>
  <c r="L52" i="106"/>
  <c r="N52" i="106" s="1"/>
  <c r="M67" i="85"/>
  <c r="M299" i="121"/>
  <c r="J39" i="111"/>
  <c r="K22" i="111"/>
  <c r="K39" i="111" s="1"/>
  <c r="J25" i="111"/>
  <c r="F39" i="111"/>
  <c r="F25" i="111"/>
  <c r="G39" i="111"/>
  <c r="G25" i="111"/>
  <c r="E39" i="111"/>
  <c r="E25" i="111"/>
  <c r="C39" i="111"/>
  <c r="C25" i="111"/>
  <c r="B34" i="111"/>
  <c r="B38" i="111"/>
  <c r="B33" i="111"/>
  <c r="B44" i="82"/>
  <c r="I39" i="111"/>
  <c r="I25" i="111"/>
  <c r="H39" i="111"/>
  <c r="H25" i="111"/>
  <c r="D39" i="111"/>
  <c r="D25" i="111"/>
  <c r="H744" i="121"/>
  <c r="I44" i="111"/>
  <c r="H740" i="121"/>
  <c r="I40" i="111"/>
  <c r="C30" i="86" s="1"/>
  <c r="J53" i="82"/>
  <c r="J731" i="121"/>
  <c r="B49" i="111"/>
  <c r="B52" i="111" s="1"/>
  <c r="D46" i="111"/>
  <c r="C47" i="111"/>
  <c r="C53" i="111"/>
  <c r="C55" i="111"/>
  <c r="G33" i="86" s="1"/>
  <c r="C48" i="111"/>
  <c r="N51" i="106" l="1"/>
  <c r="B14" i="82"/>
  <c r="B54" i="111"/>
  <c r="B71" i="111" s="1"/>
  <c r="K25" i="111"/>
  <c r="K34" i="111" s="1"/>
  <c r="F34" i="111"/>
  <c r="F38" i="111"/>
  <c r="F33" i="111"/>
  <c r="G9" i="86" s="1"/>
  <c r="F44" i="82"/>
  <c r="I38" i="111"/>
  <c r="I34" i="111"/>
  <c r="I33" i="111"/>
  <c r="C29" i="86" s="1"/>
  <c r="I44" i="82"/>
  <c r="J34" i="111"/>
  <c r="J38" i="111"/>
  <c r="J33" i="111"/>
  <c r="D29" i="86" s="1"/>
  <c r="J44" i="82"/>
  <c r="G34" i="111"/>
  <c r="G38" i="111"/>
  <c r="G44" i="82"/>
  <c r="G33" i="111"/>
  <c r="H9" i="86" s="1"/>
  <c r="C9" i="86"/>
  <c r="S21" i="111"/>
  <c r="B57" i="111"/>
  <c r="D38" i="111"/>
  <c r="D34" i="111"/>
  <c r="D33" i="111"/>
  <c r="E9" i="86" s="1"/>
  <c r="D44" i="82"/>
  <c r="C34" i="111"/>
  <c r="C38" i="111"/>
  <c r="C33" i="111"/>
  <c r="C44" i="82"/>
  <c r="H38" i="111"/>
  <c r="H34" i="111"/>
  <c r="H44" i="82"/>
  <c r="H33" i="111"/>
  <c r="I9" i="86" s="1"/>
  <c r="E38" i="111"/>
  <c r="E34" i="111"/>
  <c r="E44" i="82"/>
  <c r="E33" i="111"/>
  <c r="F9" i="86" s="1"/>
  <c r="I744" i="121"/>
  <c r="J44" i="111"/>
  <c r="I740" i="121"/>
  <c r="J40" i="111"/>
  <c r="D30" i="86" s="1"/>
  <c r="K53" i="82"/>
  <c r="K731" i="121"/>
  <c r="C49" i="111"/>
  <c r="C52" i="111" s="1"/>
  <c r="E46" i="111"/>
  <c r="D47" i="111"/>
  <c r="D53" i="111"/>
  <c r="D55" i="111"/>
  <c r="H33" i="86" s="1"/>
  <c r="D48" i="111"/>
  <c r="B65" i="111" l="1"/>
  <c r="F29" i="86" s="1"/>
  <c r="K38" i="111"/>
  <c r="K33" i="111"/>
  <c r="E29" i="86" s="1"/>
  <c r="K44" i="82"/>
  <c r="B64" i="82"/>
  <c r="D9" i="86"/>
  <c r="S24" i="111"/>
  <c r="S27" i="111"/>
  <c r="S22" i="111"/>
  <c r="S26" i="111"/>
  <c r="S25" i="111"/>
  <c r="S29" i="111"/>
  <c r="B70" i="111"/>
  <c r="B66" i="111"/>
  <c r="S28" i="111"/>
  <c r="C54" i="111"/>
  <c r="C71" i="111" s="1"/>
  <c r="S23" i="111"/>
  <c r="J744" i="121"/>
  <c r="K44" i="111"/>
  <c r="J740" i="121"/>
  <c r="K40" i="111"/>
  <c r="E30" i="86" s="1"/>
  <c r="B73" i="82"/>
  <c r="B763" i="121"/>
  <c r="D49" i="111"/>
  <c r="D52" i="111" s="1"/>
  <c r="F46" i="111"/>
  <c r="E47" i="111"/>
  <c r="E55" i="111"/>
  <c r="I33" i="86" s="1"/>
  <c r="E53" i="111"/>
  <c r="E48" i="111"/>
  <c r="D54" i="111" l="1"/>
  <c r="D71" i="111" s="1"/>
  <c r="S31" i="111"/>
  <c r="S30" i="111"/>
  <c r="C57" i="111"/>
  <c r="C65" i="111" s="1"/>
  <c r="K744" i="121"/>
  <c r="B76" i="111"/>
  <c r="K740" i="121"/>
  <c r="B72" i="111"/>
  <c r="C73" i="82"/>
  <c r="C763" i="121"/>
  <c r="G46" i="111"/>
  <c r="F55" i="111"/>
  <c r="C53" i="86" s="1"/>
  <c r="F47" i="111"/>
  <c r="F53" i="111"/>
  <c r="F48" i="111"/>
  <c r="E49" i="111"/>
  <c r="E52" i="111" s="1"/>
  <c r="V176" i="72"/>
  <c r="V177" i="72"/>
  <c r="C70" i="111" l="1"/>
  <c r="D57" i="111"/>
  <c r="D65" i="111" s="1"/>
  <c r="H29" i="86" s="1"/>
  <c r="C66" i="111"/>
  <c r="G29" i="86"/>
  <c r="S32" i="111"/>
  <c r="C64" i="82"/>
  <c r="E54" i="111"/>
  <c r="E71" i="111" s="1"/>
  <c r="B776" i="121"/>
  <c r="C76" i="111"/>
  <c r="B772" i="121"/>
  <c r="C72" i="111"/>
  <c r="F30" i="86"/>
  <c r="D73" i="82"/>
  <c r="D763" i="121"/>
  <c r="H46" i="111"/>
  <c r="G47" i="111"/>
  <c r="G53" i="111"/>
  <c r="G55" i="111"/>
  <c r="D53" i="86" s="1"/>
  <c r="G48" i="111"/>
  <c r="F49" i="111"/>
  <c r="F52" i="111" s="1"/>
  <c r="D66" i="111" l="1"/>
  <c r="S33" i="111"/>
  <c r="D70" i="111"/>
  <c r="D64" i="82"/>
  <c r="E57" i="111"/>
  <c r="E66" i="111" s="1"/>
  <c r="F54" i="111"/>
  <c r="F71" i="111" s="1"/>
  <c r="C776" i="121"/>
  <c r="D76" i="111"/>
  <c r="C772" i="121"/>
  <c r="D72" i="111"/>
  <c r="G30" i="86"/>
  <c r="E73" i="82"/>
  <c r="E763" i="121"/>
  <c r="I46" i="111"/>
  <c r="H55" i="111"/>
  <c r="E53" i="86" s="1"/>
  <c r="H47" i="111"/>
  <c r="H53" i="111"/>
  <c r="H48" i="111"/>
  <c r="G49" i="111"/>
  <c r="G52" i="111" s="1"/>
  <c r="E70" i="111" l="1"/>
  <c r="E65" i="111"/>
  <c r="E64" i="82"/>
  <c r="F57" i="111"/>
  <c r="F66" i="111" s="1"/>
  <c r="G54" i="111"/>
  <c r="G71" i="111" s="1"/>
  <c r="D776" i="121"/>
  <c r="E76" i="111"/>
  <c r="D772" i="121"/>
  <c r="E72" i="111"/>
  <c r="H30" i="86"/>
  <c r="F73" i="82"/>
  <c r="F763" i="121"/>
  <c r="J46" i="111"/>
  <c r="I47" i="111"/>
  <c r="I53" i="111"/>
  <c r="I55" i="111"/>
  <c r="F53" i="86" s="1"/>
  <c r="I48" i="111"/>
  <c r="H49" i="111"/>
  <c r="H52" i="111" s="1"/>
  <c r="F70" i="111" l="1"/>
  <c r="S34" i="111"/>
  <c r="I29" i="86"/>
  <c r="F65" i="111"/>
  <c r="F64" i="82"/>
  <c r="G57" i="111"/>
  <c r="H54" i="111"/>
  <c r="H71" i="111" s="1"/>
  <c r="E776" i="121"/>
  <c r="F76" i="111"/>
  <c r="E772" i="121"/>
  <c r="F72" i="111"/>
  <c r="I30" i="86"/>
  <c r="G73" i="82"/>
  <c r="G763" i="121"/>
  <c r="K46" i="111"/>
  <c r="J55" i="111"/>
  <c r="G53" i="86" s="1"/>
  <c r="J53" i="111"/>
  <c r="J47" i="111"/>
  <c r="J48" i="111"/>
  <c r="I49" i="111"/>
  <c r="I52" i="111" s="1"/>
  <c r="C49" i="86" l="1"/>
  <c r="S35" i="111"/>
  <c r="F47" i="106" s="1"/>
  <c r="G66" i="111"/>
  <c r="G70" i="111"/>
  <c r="G65" i="111"/>
  <c r="S36" i="111" s="1"/>
  <c r="G64" i="82"/>
  <c r="H57" i="111"/>
  <c r="I54" i="111"/>
  <c r="I71" i="111" s="1"/>
  <c r="F776" i="121"/>
  <c r="G76" i="111"/>
  <c r="G776" i="121" s="1"/>
  <c r="F772" i="121"/>
  <c r="G72" i="111"/>
  <c r="C50" i="86"/>
  <c r="H73" i="82"/>
  <c r="H763" i="121"/>
  <c r="J49" i="111"/>
  <c r="J52" i="111" s="1"/>
  <c r="B78" i="111"/>
  <c r="K53" i="111"/>
  <c r="K55" i="111"/>
  <c r="H53" i="86" s="1"/>
  <c r="K47" i="111"/>
  <c r="K48" i="111"/>
  <c r="I133" i="73"/>
  <c r="G59" i="93"/>
  <c r="G61" i="93"/>
  <c r="O138" i="72"/>
  <c r="L47" i="106" l="1"/>
  <c r="L90" i="121" s="1"/>
  <c r="F90" i="121"/>
  <c r="J54" i="111"/>
  <c r="J71" i="111" s="1"/>
  <c r="H70" i="111"/>
  <c r="H66" i="111"/>
  <c r="H65" i="111"/>
  <c r="S37" i="111" s="1"/>
  <c r="H64" i="82"/>
  <c r="I57" i="111"/>
  <c r="G772" i="121"/>
  <c r="H72" i="111"/>
  <c r="E50" i="86" s="1"/>
  <c r="D50" i="86"/>
  <c r="I73" i="82"/>
  <c r="I763" i="121"/>
  <c r="K49" i="111"/>
  <c r="K52" i="111" s="1"/>
  <c r="C78" i="111"/>
  <c r="B85" i="111"/>
  <c r="B87" i="111"/>
  <c r="B79" i="111"/>
  <c r="B80" i="111"/>
  <c r="G62" i="93"/>
  <c r="G63" i="93"/>
  <c r="G58" i="93"/>
  <c r="G60" i="93"/>
  <c r="P47" i="72"/>
  <c r="P46" i="72"/>
  <c r="P45" i="72"/>
  <c r="K54" i="111" l="1"/>
  <c r="K71" i="111" s="1"/>
  <c r="I70" i="111"/>
  <c r="I66" i="111"/>
  <c r="I65" i="111"/>
  <c r="S38" i="111" s="1"/>
  <c r="I64" i="82"/>
  <c r="J57" i="111"/>
  <c r="H772" i="121"/>
  <c r="I72" i="111"/>
  <c r="F50" i="86" s="1"/>
  <c r="J73" i="82"/>
  <c r="J763" i="121"/>
  <c r="B81" i="111"/>
  <c r="B84" i="111" s="1"/>
  <c r="D78" i="111"/>
  <c r="C79" i="111"/>
  <c r="C87" i="111"/>
  <c r="C85" i="111"/>
  <c r="C80" i="111"/>
  <c r="AB57" i="72"/>
  <c r="AB58" i="72"/>
  <c r="AB59" i="72"/>
  <c r="AB60" i="72"/>
  <c r="AB61" i="72"/>
  <c r="Z56" i="72"/>
  <c r="AI35" i="72"/>
  <c r="AH35" i="72"/>
  <c r="AG35" i="72"/>
  <c r="AF35" i="72"/>
  <c r="AE35" i="72"/>
  <c r="AD35" i="72"/>
  <c r="B86" i="111" l="1"/>
  <c r="B102" i="111" s="1"/>
  <c r="K57" i="111"/>
  <c r="K66" i="111" s="1"/>
  <c r="J70" i="111"/>
  <c r="J66" i="111"/>
  <c r="J64" i="82"/>
  <c r="J65" i="111"/>
  <c r="S39" i="111" s="1"/>
  <c r="I772" i="121"/>
  <c r="J72" i="111"/>
  <c r="G50" i="86" s="1"/>
  <c r="K73" i="82"/>
  <c r="K763" i="121"/>
  <c r="E78" i="111"/>
  <c r="D79" i="111"/>
  <c r="D85" i="111"/>
  <c r="D87" i="111"/>
  <c r="D80" i="111"/>
  <c r="C81" i="111"/>
  <c r="C84" i="111" s="1"/>
  <c r="R344" i="72"/>
  <c r="D4" i="93"/>
  <c r="K64" i="82" l="1"/>
  <c r="K65" i="111"/>
  <c r="S40" i="111" s="1"/>
  <c r="B89" i="111"/>
  <c r="B96" i="111" s="1"/>
  <c r="B796" i="121" s="1"/>
  <c r="K70" i="111"/>
  <c r="C86" i="111"/>
  <c r="C102" i="111" s="1"/>
  <c r="J772" i="121"/>
  <c r="K72" i="111"/>
  <c r="H50" i="86" s="1"/>
  <c r="B795" i="12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101" i="111" l="1"/>
  <c r="B97" i="111"/>
  <c r="C89" i="111"/>
  <c r="D86" i="111"/>
  <c r="D102" i="111" s="1"/>
  <c r="K772" i="121"/>
  <c r="L100" i="85"/>
  <c r="L70" i="85"/>
  <c r="B103" i="111"/>
  <c r="C795" i="12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97" i="111" l="1"/>
  <c r="C101" i="111"/>
  <c r="C96" i="111"/>
  <c r="C796" i="121" s="1"/>
  <c r="E86" i="111"/>
  <c r="E102" i="111" s="1"/>
  <c r="D89" i="111"/>
  <c r="B803" i="121"/>
  <c r="C103" i="111"/>
  <c r="D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101" i="111" l="1"/>
  <c r="D97" i="111"/>
  <c r="D96" i="111"/>
  <c r="D796" i="121" s="1"/>
  <c r="E89" i="111"/>
  <c r="F86" i="111"/>
  <c r="F102" i="111" s="1"/>
  <c r="C803" i="121"/>
  <c r="D103" i="111"/>
  <c r="E795" i="121"/>
  <c r="G81" i="111"/>
  <c r="G84" i="111" s="1"/>
  <c r="I78" i="111"/>
  <c r="H79" i="111"/>
  <c r="H85" i="111"/>
  <c r="H87" i="111"/>
  <c r="H80" i="111"/>
  <c r="E62" i="100"/>
  <c r="K37" i="100"/>
  <c r="C40" i="100"/>
  <c r="K35" i="100"/>
  <c r="K62" i="100"/>
  <c r="F89" i="111" l="1"/>
  <c r="E101" i="111"/>
  <c r="E97" i="111"/>
  <c r="E96" i="111"/>
  <c r="E796" i="121" s="1"/>
  <c r="G86" i="111"/>
  <c r="G102" i="111" s="1"/>
  <c r="D803" i="121"/>
  <c r="E103" i="111"/>
  <c r="F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101" i="111" l="1"/>
  <c r="F97" i="111"/>
  <c r="F96" i="111"/>
  <c r="F796" i="121" s="1"/>
  <c r="G89" i="111"/>
  <c r="H86" i="111"/>
  <c r="H102" i="111" s="1"/>
  <c r="E803" i="121"/>
  <c r="F103" i="111"/>
  <c r="G795" i="121"/>
  <c r="I81" i="111"/>
  <c r="I84" i="111" s="1"/>
  <c r="K78" i="111"/>
  <c r="J87" i="111"/>
  <c r="J85" i="111"/>
  <c r="J79" i="111"/>
  <c r="J80" i="111"/>
  <c r="G97" i="111" l="1"/>
  <c r="G101" i="111"/>
  <c r="G96" i="111"/>
  <c r="G796" i="121" s="1"/>
  <c r="I86" i="111"/>
  <c r="I102" i="111" s="1"/>
  <c r="H89" i="111"/>
  <c r="F803" i="121"/>
  <c r="G103" i="111"/>
  <c r="H795" i="121"/>
  <c r="J81" i="111"/>
  <c r="J84" i="111" s="1"/>
  <c r="B108" i="111"/>
  <c r="K85" i="111"/>
  <c r="K87" i="111"/>
  <c r="K79" i="111"/>
  <c r="K80" i="111"/>
  <c r="F18" i="85"/>
  <c r="H101" i="111" l="1"/>
  <c r="H97" i="111"/>
  <c r="H96" i="111"/>
  <c r="H796" i="121" s="1"/>
  <c r="I89" i="111"/>
  <c r="J86" i="111"/>
  <c r="J102" i="111" s="1"/>
  <c r="G803" i="121"/>
  <c r="H103" i="111"/>
  <c r="I795" i="121"/>
  <c r="C108" i="111"/>
  <c r="B109" i="111"/>
  <c r="B117" i="111"/>
  <c r="B115" i="111"/>
  <c r="B110" i="111"/>
  <c r="K81" i="111"/>
  <c r="K84" i="111" s="1"/>
  <c r="E242" i="72"/>
  <c r="I101" i="111" l="1"/>
  <c r="I97" i="111"/>
  <c r="I96" i="111"/>
  <c r="I796" i="121" s="1"/>
  <c r="J89" i="111"/>
  <c r="K86" i="111"/>
  <c r="K102" i="111" s="1"/>
  <c r="H803" i="121"/>
  <c r="I103" i="111"/>
  <c r="J795" i="121"/>
  <c r="B111" i="111"/>
  <c r="B114" i="111" s="1"/>
  <c r="D108" i="111"/>
  <c r="C109" i="111"/>
  <c r="C117" i="111"/>
  <c r="C115" i="111"/>
  <c r="C110" i="111"/>
  <c r="Q295" i="72"/>
  <c r="Q298" i="72"/>
  <c r="Q94" i="72"/>
  <c r="Q312" i="72"/>
  <c r="Q311" i="72"/>
  <c r="J101" i="111" l="1"/>
  <c r="J97" i="111"/>
  <c r="J96" i="111"/>
  <c r="J796" i="121" s="1"/>
  <c r="B116" i="111"/>
  <c r="B132" i="111" s="1"/>
  <c r="K89" i="111"/>
  <c r="I803" i="121"/>
  <c r="J103" i="111"/>
  <c r="K795" i="121"/>
  <c r="E108" i="111"/>
  <c r="D115" i="111"/>
  <c r="D109" i="111"/>
  <c r="D117" i="111"/>
  <c r="D110" i="111"/>
  <c r="C111" i="111"/>
  <c r="C114" i="111" s="1"/>
  <c r="I91" i="72"/>
  <c r="K101" i="111" l="1"/>
  <c r="K97" i="111"/>
  <c r="K96" i="111"/>
  <c r="K796" i="121" s="1"/>
  <c r="B119" i="111"/>
  <c r="C116" i="111"/>
  <c r="C132" i="111" s="1"/>
  <c r="J803" i="121"/>
  <c r="K103" i="111"/>
  <c r="B825" i="121"/>
  <c r="D111" i="111"/>
  <c r="D114" i="111" s="1"/>
  <c r="F108" i="111"/>
  <c r="E109" i="111"/>
  <c r="E115" i="111"/>
  <c r="E117" i="111"/>
  <c r="E110" i="111"/>
  <c r="L285" i="72"/>
  <c r="B127" i="111" l="1"/>
  <c r="B131" i="111"/>
  <c r="D116" i="111"/>
  <c r="D132" i="111" s="1"/>
  <c r="B126" i="111"/>
  <c r="C119" i="111"/>
  <c r="K803" i="121"/>
  <c r="B133" i="111"/>
  <c r="C825" i="121"/>
  <c r="F109" i="111"/>
  <c r="F117" i="111"/>
  <c r="F115" i="111"/>
  <c r="F110" i="111"/>
  <c r="E111" i="111"/>
  <c r="E114" i="111" s="1"/>
  <c r="Q339" i="73"/>
  <c r="H152" i="72"/>
  <c r="D119" i="111" l="1"/>
  <c r="D127" i="111" s="1"/>
  <c r="C127" i="111"/>
  <c r="C131" i="111"/>
  <c r="C126" i="111"/>
  <c r="E116" i="111"/>
  <c r="E132" i="111" s="1"/>
  <c r="B833" i="121"/>
  <c r="C133" i="111"/>
  <c r="D825" i="121"/>
  <c r="F111" i="111"/>
  <c r="F114" i="111" s="1"/>
  <c r="L184" i="72"/>
  <c r="D126" i="111" l="1"/>
  <c r="F116" i="111"/>
  <c r="F132" i="111" s="1"/>
  <c r="D131" i="111"/>
  <c r="E119" i="111"/>
  <c r="C833" i="121"/>
  <c r="D133" i="111"/>
  <c r="F825" i="121"/>
  <c r="E825" i="121"/>
  <c r="L242" i="72"/>
  <c r="P225" i="72"/>
  <c r="R225" i="72"/>
  <c r="Q18" i="72"/>
  <c r="F119" i="111" l="1"/>
  <c r="F127" i="111" s="1"/>
  <c r="E131" i="111"/>
  <c r="E127" i="111"/>
  <c r="E126" i="111"/>
  <c r="D833" i="121"/>
  <c r="E133" i="111"/>
  <c r="F31" i="72"/>
  <c r="F30" i="72"/>
  <c r="E30" i="72"/>
  <c r="F29" i="72"/>
  <c r="E29" i="72"/>
  <c r="F28" i="72"/>
  <c r="F27" i="72"/>
  <c r="F26" i="72"/>
  <c r="N210" i="73"/>
  <c r="J274" i="72"/>
  <c r="K226" i="72"/>
  <c r="J113" i="72"/>
  <c r="M56" i="73"/>
  <c r="F24" i="72"/>
  <c r="F23" i="72"/>
  <c r="F22" i="72"/>
  <c r="P310" i="72"/>
  <c r="E24" i="72"/>
  <c r="F126" i="111" l="1"/>
  <c r="F131" i="11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<sst xmlns="http://schemas.openxmlformats.org/spreadsheetml/2006/main" count="14372" uniqueCount="5243">
  <si>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</si>
  <si>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</si>
  <si>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</si>
  <si>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</si>
  <si>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</si>
  <si>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</si>
  <si>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</si>
  <si>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</si>
  <si>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</si>
  <si>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</si>
  <si>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</si>
  <si>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</si>
  <si>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</si>
  <si>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</si>
  <si>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</si>
  <si>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</si>
  <si>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</si>
  <si>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</si>
  <si>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</si>
  <si>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</si>
  <si>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</si>
  <si>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</si>
  <si>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</si>
  <si>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</si>
  <si>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</si>
  <si>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</si>
  <si>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</si>
  <si>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</si>
  <si>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</si>
  <si>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</si>
  <si>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2024QD087</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</si>
  <si>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</si>
  <si>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</si>
  <si>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</si>
  <si>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</si>
  <si>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</si>
  <si>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Abbington Blue Ridge, LP</t>
  </si>
  <si>
    <t>Contact</t>
  </si>
  <si>
    <t>Eric Buffenbarger</t>
  </si>
  <si>
    <t>Title</t>
  </si>
  <si>
    <t>Manager of General Partner</t>
  </si>
  <si>
    <t>Office Phone</t>
  </si>
  <si>
    <t>Ext.</t>
  </si>
  <si>
    <t>Direct Line</t>
  </si>
  <si>
    <t>E-mail</t>
  </si>
  <si>
    <t>gaapps@reaventures.com</t>
  </si>
  <si>
    <t>Cellular</t>
  </si>
  <si>
    <t>Alternate Contact</t>
  </si>
  <si>
    <t>Rea Ventures Group, LLC</t>
  </si>
  <si>
    <t>Trey Coogle</t>
  </si>
  <si>
    <t>Manager</t>
  </si>
  <si>
    <t>treycoogle@reaventures.com</t>
  </si>
  <si>
    <t>IV.</t>
  </si>
  <si>
    <t>PROJECT LOCATION</t>
  </si>
  <si>
    <t>Project Name</t>
  </si>
  <si>
    <t>Abbington Blue Ridge</t>
  </si>
  <si>
    <t>QCT?</t>
  </si>
  <si>
    <t>No</t>
  </si>
  <si>
    <t>City</t>
  </si>
  <si>
    <t>Blue Ridge</t>
  </si>
  <si>
    <t>County</t>
  </si>
  <si>
    <t>DDA?</t>
  </si>
  <si>
    <t>Site is predominantly located within:</t>
  </si>
  <si>
    <t>Unincorporated County</t>
  </si>
  <si>
    <t>(Adjust County if needed)</t>
  </si>
  <si>
    <t>Site Acreage</t>
  </si>
  <si>
    <t>In USDA Rural Area?</t>
  </si>
  <si>
    <t>Yes</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</si>
  <si>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</si>
  <si>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</si>
  <si>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</si>
  <si>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</si>
  <si>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</si>
  <si>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</si>
  <si>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</si>
  <si>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</si>
  <si>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</si>
  <si>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</si>
  <si>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</si>
  <si>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</si>
  <si>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</si>
  <si>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</si>
  <si>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</si>
  <si>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All development team members are experienced in multifamily LIHTC housing.  Project team was deemed "Qualified" by DCA on 5/01/2024 for a smilar project, Abbington Bluff (2024QD087).  The same develoment team as was proposed at pre-application for Abbington Bluff will comprise the development team for Abbington Blue Ridge.  There has been no change to the Project Team since Pre-App.  A copy of the Qualification Determination is in Tab 06.</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</si>
  <si>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</si>
  <si>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</si>
  <si>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</si>
  <si>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</si>
  <si>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</si>
  <si>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</si>
  <si>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</si>
  <si>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</si>
  <si>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</si>
  <si>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</si>
  <si>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</si>
  <si>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</si>
  <si>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</si>
  <si>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</si>
  <si>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</si>
  <si>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</si>
  <si>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</si>
  <si>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</si>
  <si>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</si>
  <si>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</si>
  <si>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</si>
  <si>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</si>
  <si>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</si>
  <si>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</si>
  <si>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</si>
  <si>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</si>
  <si>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</si>
  <si>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</si>
  <si>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</si>
  <si>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</si>
  <si>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</si>
  <si>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</si>
  <si>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</si>
  <si>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</si>
  <si>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</si>
  <si>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</si>
  <si>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</si>
  <si>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</si>
  <si>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</si>
  <si>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</si>
  <si>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</si>
  <si>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</si>
  <si>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</si>
  <si>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</si>
  <si>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</si>
  <si>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</si>
  <si>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</si>
  <si>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</si>
  <si>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</si>
  <si>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</si>
  <si>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</si>
  <si>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</si>
  <si>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</si>
  <si>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</si>
  <si>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</si>
  <si>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</si>
  <si>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</si>
  <si>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</si>
  <si>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</si>
  <si>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</si>
  <si>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</si>
  <si>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</si>
  <si>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</si>
  <si>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</si>
  <si>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</si>
  <si>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</si>
  <si>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</si>
  <si>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</si>
  <si>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</si>
  <si>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</si>
  <si>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</si>
  <si>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</si>
  <si>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</si>
  <si>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</si>
  <si>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</si>
  <si>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</si>
  <si>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</si>
  <si>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</si>
  <si>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</si>
  <si>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</si>
  <si>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</si>
  <si>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</si>
  <si>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</si>
  <si>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</si>
  <si>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</si>
  <si>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</si>
  <si>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</si>
  <si>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</si>
  <si>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</si>
  <si>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</si>
  <si>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</si>
  <si>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</si>
  <si>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</si>
  <si>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</si>
  <si>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</si>
  <si>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</si>
  <si>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</si>
  <si>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</si>
  <si>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</si>
  <si>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</si>
  <si>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</si>
  <si>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</si>
  <si>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</si>
  <si>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</si>
  <si>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</si>
  <si>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</si>
  <si>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</si>
  <si>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</si>
  <si>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</si>
  <si>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</si>
  <si>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</si>
  <si>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</si>
  <si>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</si>
  <si>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</si>
  <si>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</si>
  <si>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</si>
  <si>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</si>
  <si>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</si>
  <si>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</si>
  <si>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</si>
  <si>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</si>
  <si>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</si>
  <si>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</si>
  <si>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</si>
  <si>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</si>
  <si>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</si>
  <si>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</si>
  <si>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</si>
  <si>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</si>
  <si>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</si>
  <si>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</si>
  <si>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</si>
  <si>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</si>
  <si>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</si>
  <si>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</si>
  <si>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</si>
  <si>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</si>
  <si>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</si>
  <si>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</si>
  <si>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</si>
  <si>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</si>
  <si>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</si>
  <si>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</si>
  <si>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</si>
  <si>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</si>
  <si>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</si>
  <si>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</si>
  <si>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</si>
  <si>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</si>
  <si>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</si>
  <si>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</si>
  <si>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</si>
  <si>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</si>
  <si>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</si>
  <si>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</si>
  <si>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</si>
  <si>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</si>
  <si>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</si>
  <si>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</si>
  <si>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</si>
  <si>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</si>
  <si>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</si>
  <si>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</si>
  <si>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</si>
  <si>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</si>
  <si>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</si>
  <si>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</si>
  <si>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</si>
  <si>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</si>
  <si>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</si>
  <si>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</si>
  <si>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</si>
  <si>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</si>
  <si>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</si>
  <si>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</si>
  <si>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</si>
  <si>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</si>
  <si>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</si>
  <si>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</si>
  <si>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</si>
  <si>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</si>
  <si>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</si>
  <si>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</si>
  <si>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</si>
  <si>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</si>
  <si>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</si>
  <si>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</si>
  <si>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</si>
  <si>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</si>
  <si>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</si>
  <si>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</si>
  <si>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</si>
  <si>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</si>
  <si>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</si>
  <si>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</si>
  <si>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</si>
  <si>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</si>
  <si>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</si>
  <si>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</si>
  <si>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</si>
  <si>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</si>
  <si>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</si>
  <si>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</si>
  <si>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</si>
  <si>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</si>
  <si>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</si>
  <si>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</si>
  <si>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</si>
  <si>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</si>
  <si>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</si>
  <si>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</si>
  <si>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</si>
  <si>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</si>
  <si>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</si>
  <si>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</si>
  <si>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</si>
  <si>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</si>
  <si>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</si>
  <si>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</si>
  <si>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</si>
  <si>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</si>
  <si>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</si>
  <si>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</si>
  <si>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</si>
  <si>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</si>
  <si>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</si>
  <si>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</si>
  <si>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</si>
  <si>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</si>
  <si>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</si>
  <si>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</si>
  <si>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</si>
  <si>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</si>
  <si>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</si>
  <si>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</si>
  <si>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</si>
  <si>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</si>
  <si>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</si>
  <si>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</si>
  <si>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</si>
  <si>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</si>
  <si>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</si>
  <si>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</si>
  <si>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</si>
  <si>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</si>
  <si>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</si>
  <si>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</si>
  <si>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</si>
  <si>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</si>
  <si>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</si>
  <si>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</si>
  <si>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</si>
  <si>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</si>
  <si>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</si>
  <si>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</si>
  <si>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</si>
  <si>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</si>
  <si>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</si>
  <si>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</si>
  <si>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</si>
  <si>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</si>
  <si>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</si>
  <si>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</si>
  <si>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</si>
  <si>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</si>
  <si>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</si>
  <si>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</si>
  <si>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</si>
  <si>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</si>
  <si>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</si>
  <si>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</si>
  <si>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</si>
  <si>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</si>
  <si>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</si>
  <si>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</si>
  <si>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</si>
  <si>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</si>
  <si>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</si>
  <si>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</si>
  <si>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</si>
  <si>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</si>
  <si>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</si>
  <si>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</si>
  <si>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</si>
  <si>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</si>
  <si>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</si>
  <si>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</si>
  <si>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</si>
  <si>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</si>
  <si>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</si>
  <si>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</si>
  <si>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</si>
  <si>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</si>
  <si>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</si>
  <si>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</si>
  <si>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</si>
  <si>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</si>
  <si>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</si>
  <si>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</si>
  <si>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</si>
  <si>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</si>
  <si>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</si>
  <si>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</si>
  <si>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</si>
  <si>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</si>
  <si>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</si>
  <si>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</si>
  <si>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</si>
  <si>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</si>
  <si>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</si>
  <si>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</si>
  <si>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</si>
  <si>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</si>
  <si>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</si>
  <si>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</si>
  <si>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</si>
  <si>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</si>
  <si>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</si>
  <si>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</si>
  <si>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</si>
  <si>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</si>
  <si>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</si>
  <si>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</si>
  <si>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</si>
  <si>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Churchill Stateside Group, LLC</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</si>
  <si>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</si>
  <si>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</si>
  <si>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</si>
  <si>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</si>
  <si>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</si>
  <si>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</si>
  <si>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</si>
  <si>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</si>
  <si>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</si>
  <si>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</si>
  <si>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</si>
  <si>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</si>
  <si>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</si>
  <si>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</si>
  <si>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</si>
  <si>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</si>
  <si>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</si>
  <si>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</si>
  <si>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</si>
  <si>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</si>
  <si>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</si>
  <si>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</si>
  <si>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</si>
  <si>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</si>
  <si>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</si>
  <si>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</si>
  <si>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</si>
  <si>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</si>
  <si>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</si>
  <si>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</si>
  <si>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</si>
  <si>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</si>
  <si>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</si>
  <si>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</si>
  <si>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</si>
  <si>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</si>
  <si>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</si>
  <si>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</si>
  <si>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</si>
  <si>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</si>
  <si>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</si>
  <si>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</si>
  <si>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</si>
  <si>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Rea Ventures Group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</si>
  <si>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</si>
  <si>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</si>
  <si>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</si>
  <si>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</si>
  <si>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</si>
  <si>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</si>
  <si>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</si>
  <si>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</si>
  <si>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</si>
  <si>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</si>
  <si>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</si>
  <si>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</si>
  <si>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</si>
  <si>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</si>
  <si>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</si>
  <si>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</si>
  <si>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</si>
  <si>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</si>
  <si>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</si>
  <si>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</si>
  <si>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</si>
  <si>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</si>
  <si>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</si>
  <si>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</si>
  <si>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</si>
  <si>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</si>
  <si>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Churchill Stateside Group, LLC has executed a LOI to be the Federal &amp; Sate Investor at a syndication rate of $0.80 &amp; $0.50 respectively, for an allocation of 99.98% ($1,161,309 annually) of the Federal and and allocation of 100% ($1,161,542 annually) of State Credits.  
Federal and State Equity included in in Construction Financing above are equal to the first two contributions.  Construction fund surplus above will be used to pay down the construction loan at construction completion to mitigate interest expense.
Churchill Stateside Group has executed a Commitment for Construction and unrestricted Permanent Financing.  The market rate units to total units percentage is less than the unresricrted permanent financing to development cost percentage.
'* See Tab 08 Readiness Subfolder Tab 01 for a copy of the above Financial Commitments.</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</si>
  <si>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</si>
  <si>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</si>
  <si>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</si>
  <si>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</si>
  <si>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</si>
  <si>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</si>
  <si>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</si>
  <si>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</si>
  <si>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</si>
  <si>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</si>
  <si>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</si>
  <si>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</si>
  <si>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</si>
  <si>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</si>
  <si>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</si>
  <si>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</si>
  <si>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</si>
  <si>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</si>
  <si>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</si>
  <si>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</si>
  <si>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</si>
  <si>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</si>
  <si>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</si>
  <si>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</si>
  <si>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</si>
  <si>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</si>
  <si>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</si>
  <si>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</si>
  <si>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</si>
  <si>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</si>
  <si>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</si>
  <si>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</si>
  <si>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</si>
  <si>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</si>
  <si>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</si>
  <si>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</si>
  <si>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</si>
  <si>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</si>
  <si>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</si>
  <si>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</si>
  <si>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</si>
  <si>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</si>
  <si>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</si>
  <si>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</si>
  <si>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</si>
  <si>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</si>
  <si>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</si>
  <si>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</si>
  <si>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</si>
  <si>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</si>
  <si>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</si>
  <si>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</si>
  <si>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</si>
  <si>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</si>
  <si>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</si>
  <si>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</si>
  <si>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</si>
  <si>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</si>
  <si>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</si>
  <si>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</si>
  <si>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Arch, Environ, &amp; Cost Review</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</si>
  <si>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</si>
  <si>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</si>
  <si>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</si>
  <si>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</si>
  <si>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</si>
  <si>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</si>
  <si>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</si>
  <si>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</si>
  <si>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</si>
  <si>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</si>
  <si>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</si>
  <si>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</si>
  <si>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</si>
  <si>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</si>
  <si>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</si>
  <si>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</si>
  <si>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</si>
  <si>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</si>
  <si>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</si>
  <si>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</si>
  <si>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</si>
  <si>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</si>
  <si>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</si>
  <si>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</si>
  <si>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</si>
  <si>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</si>
  <si>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</si>
  <si>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</si>
  <si>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</si>
  <si>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</si>
  <si>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</si>
  <si>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</si>
  <si>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</si>
  <si>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</si>
  <si>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</si>
  <si>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</si>
  <si>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</si>
  <si>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</si>
  <si>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</si>
  <si>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</si>
  <si>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</si>
  <si>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</si>
  <si>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</si>
  <si>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</si>
  <si>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</si>
  <si>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</si>
  <si>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</si>
  <si>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</si>
  <si>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</si>
  <si>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</si>
  <si>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</si>
  <si>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</si>
  <si>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</si>
  <si>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</si>
  <si>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</si>
  <si>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</si>
  <si>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</si>
  <si>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</si>
  <si>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</si>
  <si>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</si>
  <si>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</si>
  <si>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</si>
  <si>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</si>
  <si>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</si>
  <si>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</si>
  <si>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</si>
  <si>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</si>
  <si>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</si>
  <si>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</si>
  <si>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</si>
  <si>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</si>
  <si>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</si>
  <si>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</si>
  <si>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</si>
  <si>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</si>
  <si>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</si>
  <si>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</si>
  <si>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</si>
  <si>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</si>
  <si>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</si>
  <si>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</si>
  <si>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</si>
  <si>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</si>
  <si>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</si>
  <si>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Landscape Architect</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</si>
  <si>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</si>
  <si>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</si>
  <si>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</si>
  <si>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</si>
  <si>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</si>
  <si>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</si>
  <si>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</si>
  <si>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</si>
  <si>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</si>
  <si>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</si>
  <si>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</si>
  <si>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</si>
  <si>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</si>
  <si>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</si>
  <si>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</si>
  <si>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</si>
  <si>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</si>
  <si>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</si>
  <si>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</si>
  <si>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</si>
  <si>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</si>
  <si>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</si>
  <si>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</si>
  <si>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</si>
  <si>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</si>
  <si>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</si>
  <si>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</si>
  <si>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</si>
  <si>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</si>
  <si>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</si>
  <si>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</si>
  <si>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</si>
  <si>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</si>
  <si>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</si>
  <si>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</si>
  <si>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</si>
  <si>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</si>
  <si>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</si>
  <si>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</si>
  <si>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</si>
  <si>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</si>
  <si>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</si>
  <si>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</si>
  <si>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</si>
  <si>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</si>
  <si>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</si>
  <si>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</si>
  <si>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</si>
  <si>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</si>
  <si>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</si>
  <si>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</si>
  <si>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</si>
  <si>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</si>
  <si>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</si>
  <si>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</si>
  <si>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</si>
  <si>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</si>
  <si>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</si>
  <si>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</si>
  <si>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</si>
  <si>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</si>
  <si>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</si>
  <si>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</si>
  <si>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</si>
  <si>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</si>
  <si>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</si>
  <si>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</si>
  <si>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</si>
  <si>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</si>
  <si>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</si>
  <si>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</si>
  <si>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</si>
  <si>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</si>
  <si>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</si>
  <si>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</si>
  <si>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</si>
  <si>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</si>
  <si>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</si>
  <si>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</si>
  <si>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</si>
  <si>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</si>
  <si>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</si>
  <si>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</si>
  <si>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</si>
  <si>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</si>
  <si>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</si>
  <si>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</si>
  <si>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</si>
  <si>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</si>
  <si>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</si>
  <si>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</si>
  <si>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</si>
  <si>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</si>
  <si>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</si>
  <si>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</si>
  <si>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</si>
  <si>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</si>
  <si>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</si>
  <si>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</si>
  <si>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</si>
  <si>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</si>
  <si>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</si>
  <si>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</si>
  <si>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</si>
  <si>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</si>
  <si>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</si>
  <si>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</si>
  <si>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</si>
  <si>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</si>
  <si>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</si>
  <si>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</si>
  <si>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</si>
  <si>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</si>
  <si>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</si>
  <si>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</si>
  <si>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</si>
  <si>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</si>
  <si>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</si>
  <si>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</si>
  <si>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</si>
  <si>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</si>
  <si>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</si>
  <si>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</si>
  <si>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</si>
  <si>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</si>
  <si>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</si>
  <si>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</si>
  <si>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</si>
  <si>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</si>
  <si>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Construction Hard Costs were determined with consultation between the Developer, Architect, Civil Engineers and the General Contractor.  All those parties are well versed in this building type as they have worked together on very similar apartmenrts.  The General Contractor has provided a written Estimate of Development Costs and it is included in Tab 08 Readiness Subfolder Tab 01, Feasibility.
Local Goverment Fees were calculated pursuant to current fee schedules and calculation is included in Tab 08 Readiness Subfolder Tab 01, Feasibility.
Water Tap Fees are included with the Sewer Tap Fees and calculation is included in Tab 08 Readiness Subfolder Tab 01, Feasibility.</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</si>
  <si>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</si>
  <si>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</si>
  <si>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</si>
  <si>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</si>
  <si>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Lender due diligence costs for plan review, environmental report review, and construction cost review.  See Construction Loan Commitment for backup.</t>
  </si>
  <si>
    <t>Cost are for construction related reviews so 100% are included in basis.</t>
  </si>
  <si>
    <t>Total Cost</t>
  </si>
  <si>
    <t>OTHER CONSTRUCTION HARD COSTS</t>
  </si>
  <si>
    <t>Landscape Architect for construction plans and permit</t>
  </si>
  <si>
    <t>Landscape architect design and inspection incurred for construction and 100% included in basis.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</si>
  <si>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</si>
  <si>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</si>
  <si>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</si>
  <si>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</si>
  <si>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</si>
  <si>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</si>
  <si>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</si>
  <si>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</si>
  <si>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</si>
  <si>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</si>
  <si>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</si>
  <si>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</si>
  <si>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</si>
  <si>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</si>
  <si>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</si>
  <si>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</si>
  <si>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</si>
  <si>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</si>
  <si>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</si>
  <si>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</si>
  <si>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</si>
  <si>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</si>
  <si>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</si>
  <si>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</si>
  <si>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</si>
  <si>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</si>
  <si>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</si>
  <si>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</si>
  <si>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</si>
  <si>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</si>
  <si>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</si>
  <si>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</si>
  <si>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</si>
  <si>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Montly Electric Fee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</si>
  <si>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</si>
  <si>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</si>
  <si>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</si>
  <si>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</si>
  <si>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</si>
  <si>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Property supplies Range/Microwave and Refrigerator so the cost of those is properly excluded from U/A.  See Tab 08 Readiness Subfolder Tab 01, Feasibility, for a copy of the GA North U/A.</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</si>
  <si>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</si>
  <si>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</si>
  <si>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</si>
  <si>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</si>
  <si>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</si>
  <si>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</si>
  <si>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</si>
  <si>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</si>
  <si>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</si>
  <si>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</si>
  <si>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</si>
  <si>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</si>
  <si>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</si>
  <si>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</si>
  <si>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</si>
  <si>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</si>
  <si>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</si>
  <si>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</si>
  <si>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</si>
  <si>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</si>
  <si>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</si>
  <si>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</si>
  <si>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</si>
  <si>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</si>
  <si>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</si>
  <si>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</si>
  <si>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</si>
  <si>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</si>
  <si>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</si>
  <si>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</si>
  <si>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</si>
  <si>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</si>
  <si>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</si>
  <si>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</si>
  <si>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</si>
  <si>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</si>
  <si>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</si>
  <si>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</si>
  <si>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</si>
  <si>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</si>
  <si>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</si>
  <si>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</si>
  <si>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</si>
  <si>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</si>
  <si>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</si>
  <si>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</si>
  <si>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</si>
  <si>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</si>
  <si>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</si>
  <si>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</si>
  <si>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</si>
  <si>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</si>
  <si>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</si>
  <si>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</si>
  <si>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</si>
  <si>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</si>
  <si>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</si>
  <si>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</si>
  <si>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</si>
  <si>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</si>
  <si>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</si>
  <si>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</si>
  <si>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</si>
  <si>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</si>
  <si>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</si>
  <si>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</si>
  <si>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</si>
  <si>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</si>
  <si>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</si>
  <si>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</si>
  <si>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</si>
  <si>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</si>
  <si>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</si>
  <si>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</si>
  <si>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</si>
  <si>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</si>
  <si>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</si>
  <si>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</si>
  <si>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</si>
  <si>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</si>
  <si>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</si>
  <si>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</si>
  <si>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</si>
  <si>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</si>
  <si>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</si>
  <si>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</si>
  <si>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</si>
  <si>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</si>
  <si>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</si>
  <si>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</si>
  <si>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</si>
  <si>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</si>
  <si>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</si>
  <si>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</si>
  <si>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</si>
  <si>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</si>
  <si>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</si>
  <si>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</si>
  <si>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</si>
  <si>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</si>
  <si>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</si>
  <si>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</si>
  <si>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</si>
  <si>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</si>
  <si>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</si>
  <si>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</si>
  <si>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</si>
  <si>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</si>
  <si>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</si>
  <si>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</si>
  <si>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</si>
  <si>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</si>
  <si>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</si>
  <si>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</si>
  <si>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</si>
  <si>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</si>
  <si>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</si>
  <si>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</si>
  <si>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</si>
  <si>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</si>
  <si>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</si>
  <si>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</si>
  <si>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</si>
  <si>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</si>
  <si>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</si>
  <si>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</si>
  <si>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</si>
  <si>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</si>
  <si>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</si>
  <si>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</si>
  <si>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</si>
  <si>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</si>
  <si>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</si>
  <si>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</si>
  <si>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</si>
  <si>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</si>
  <si>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</si>
  <si>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</si>
  <si>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</si>
  <si>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</si>
  <si>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</si>
  <si>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</si>
  <si>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</si>
  <si>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</si>
  <si>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</si>
  <si>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</si>
  <si>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</si>
  <si>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</si>
  <si>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</si>
  <si>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</si>
  <si>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</si>
  <si>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</si>
  <si>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</si>
  <si>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</si>
  <si>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</si>
  <si>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</si>
  <si>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</si>
  <si>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</si>
  <si>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</si>
  <si>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</si>
  <si>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</si>
  <si>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</si>
  <si>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</si>
  <si>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</si>
  <si>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</si>
  <si>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</si>
  <si>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</si>
  <si>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</si>
  <si>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</si>
  <si>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</si>
  <si>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</si>
  <si>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</si>
  <si>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</si>
  <si>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</si>
  <si>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</si>
  <si>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</si>
  <si>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</si>
  <si>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</si>
  <si>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</si>
  <si>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</si>
  <si>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</si>
  <si>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</si>
  <si>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</si>
  <si>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</si>
  <si>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</si>
  <si>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</si>
  <si>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</si>
  <si>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</si>
  <si>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</si>
  <si>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</si>
  <si>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</si>
  <si>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</si>
  <si>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</si>
  <si>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</si>
  <si>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</si>
  <si>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</si>
  <si>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</si>
  <si>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</si>
  <si>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</si>
  <si>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</si>
  <si>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</si>
  <si>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</si>
  <si>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</si>
  <si>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</si>
  <si>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</si>
  <si>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</si>
  <si>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</si>
  <si>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</si>
  <si>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</si>
  <si>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</si>
  <si>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</si>
  <si>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</si>
  <si>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</si>
  <si>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</si>
  <si>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</si>
  <si>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</si>
  <si>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</si>
  <si>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</si>
  <si>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</si>
  <si>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</si>
  <si>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</si>
  <si>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</si>
  <si>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</si>
  <si>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</si>
  <si>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</si>
  <si>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</si>
  <si>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</si>
  <si>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</si>
  <si>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</si>
  <si>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</si>
  <si>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</si>
  <si>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</si>
  <si>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</si>
  <si>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</si>
  <si>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</si>
  <si>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</si>
  <si>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</si>
  <si>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</si>
  <si>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</si>
  <si>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</si>
  <si>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</si>
  <si>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</si>
  <si>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</si>
  <si>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</si>
  <si>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</si>
  <si>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</si>
  <si>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</si>
  <si>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</si>
  <si>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</si>
  <si>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</si>
  <si>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</si>
  <si>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</si>
  <si>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</si>
  <si>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</si>
  <si>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</si>
  <si>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</si>
  <si>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</si>
  <si>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</si>
  <si>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</si>
  <si>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</si>
  <si>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</si>
  <si>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</si>
  <si>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</si>
  <si>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</si>
  <si>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</si>
  <si>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</si>
  <si>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</si>
  <si>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</si>
  <si>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</si>
  <si>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</si>
  <si>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</si>
  <si>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</si>
  <si>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</si>
  <si>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</si>
  <si>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</si>
  <si>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</si>
  <si>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</si>
  <si>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</si>
  <si>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</si>
  <si>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</si>
  <si>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</si>
  <si>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</si>
  <si>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</si>
  <si>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</si>
  <si>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</si>
  <si>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</si>
  <si>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</si>
  <si>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</si>
  <si>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Novogradic &amp; Co</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</si>
  <si>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</si>
  <si>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</si>
  <si>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</si>
  <si>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</si>
  <si>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</si>
  <si>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</si>
  <si>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</si>
  <si>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</si>
  <si>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</si>
  <si>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</si>
  <si>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</si>
  <si>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</si>
  <si>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</si>
  <si>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</si>
  <si>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</si>
  <si>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</si>
  <si>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</si>
  <si>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</si>
  <si>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</si>
  <si>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</si>
  <si>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</si>
  <si>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</si>
  <si>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</si>
  <si>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</si>
  <si>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</si>
  <si>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</si>
  <si>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</si>
  <si>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</si>
  <si>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</si>
  <si>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</si>
  <si>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</si>
  <si>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</si>
  <si>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</si>
  <si>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</si>
  <si>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</si>
  <si>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</si>
  <si>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</si>
  <si>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</si>
  <si>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</si>
  <si>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</si>
  <si>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</si>
  <si>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</si>
  <si>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</si>
  <si>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</si>
  <si>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</si>
  <si>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</si>
  <si>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</si>
  <si>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New Construction</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</si>
  <si>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</si>
  <si>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</si>
  <si>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</si>
  <si>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</si>
  <si>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</si>
  <si>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</si>
  <si>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</si>
  <si>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</si>
  <si>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</si>
  <si>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</si>
  <si>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</si>
  <si>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</si>
  <si>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</si>
  <si>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</si>
  <si>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</si>
  <si>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</si>
  <si>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</si>
  <si>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</si>
  <si>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</si>
  <si>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</si>
  <si>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</si>
  <si>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</si>
  <si>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</si>
  <si>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</si>
  <si>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</si>
  <si>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</si>
  <si>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</si>
  <si>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</si>
  <si>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</si>
  <si>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</si>
  <si>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</si>
  <si>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</si>
  <si>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</si>
  <si>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</si>
  <si>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</si>
  <si>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</si>
  <si>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</si>
  <si>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</si>
  <si>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</si>
  <si>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</si>
  <si>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</si>
  <si>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</si>
  <si>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</si>
  <si>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</si>
  <si>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</si>
  <si>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</si>
  <si>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</si>
  <si>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</si>
  <si>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</si>
  <si>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</si>
  <si>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</si>
  <si>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&lt;&lt; Select &gt;&gt;</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</si>
  <si>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</si>
  <si>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</si>
  <si>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</si>
  <si>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</si>
  <si>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</si>
  <si>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</si>
  <si>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</si>
  <si>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</si>
  <si>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</si>
  <si>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</si>
  <si>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</si>
  <si>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</si>
  <si>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</si>
  <si>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</si>
  <si>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</si>
  <si>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</si>
  <si>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</si>
  <si>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</si>
  <si>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</si>
  <si>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</si>
  <si>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</si>
  <si>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</si>
  <si>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</si>
  <si>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</si>
  <si>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</si>
  <si>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</si>
  <si>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</si>
  <si>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</si>
  <si>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</si>
  <si>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</si>
  <si>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</si>
  <si>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</si>
  <si>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</si>
  <si>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</si>
  <si>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</si>
  <si>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</si>
  <si>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</si>
  <si>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</si>
  <si>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</si>
  <si>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</si>
  <si>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</si>
  <si>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</si>
  <si>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</si>
  <si>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</si>
  <si>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</si>
  <si>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</si>
  <si>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</si>
  <si>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</si>
  <si>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</si>
  <si>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</si>
  <si>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</si>
  <si>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</si>
  <si>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</si>
  <si>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</si>
  <si>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</si>
  <si>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</si>
  <si>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</si>
  <si>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</si>
  <si>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</si>
  <si>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</si>
  <si>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</si>
  <si>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</si>
  <si>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</si>
  <si>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</si>
  <si>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</si>
  <si>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</si>
  <si>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</si>
  <si>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</si>
  <si>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</si>
  <si>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</si>
  <si>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</si>
  <si>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</si>
  <si>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</si>
  <si>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</si>
  <si>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</si>
  <si>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</si>
  <si>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</si>
  <si>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</si>
  <si>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</si>
  <si>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</si>
  <si>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</si>
  <si>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</si>
  <si>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</si>
  <si>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</si>
  <si>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</si>
  <si>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</si>
  <si>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</si>
  <si>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</si>
  <si>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</si>
  <si>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</si>
  <si>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taxes, insurance, bonus</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</si>
  <si>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</si>
  <si>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</si>
  <si>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</si>
  <si>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</si>
  <si>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</si>
  <si>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</si>
  <si>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</si>
  <si>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</si>
  <si>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</si>
  <si>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</si>
  <si>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</si>
  <si>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</si>
  <si>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</si>
  <si>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</si>
  <si>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</si>
  <si>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</si>
  <si>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</si>
  <si>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</si>
  <si>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</si>
  <si>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training</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</si>
  <si>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</si>
  <si>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</si>
  <si>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</si>
  <si>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</si>
  <si>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</si>
  <si>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</si>
  <si>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</si>
  <si>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</si>
  <si>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</si>
  <si>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</si>
  <si>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</si>
  <si>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</si>
  <si>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</si>
  <si>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</si>
  <si>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</si>
  <si>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</si>
  <si>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</si>
  <si>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</si>
  <si>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</si>
  <si>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</si>
  <si>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</si>
  <si>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</si>
  <si>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</si>
  <si>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</si>
  <si>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</si>
  <si>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</si>
  <si>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</si>
  <si>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</si>
  <si>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</si>
  <si>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</si>
  <si>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</si>
  <si>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</si>
  <si>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</si>
  <si>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</si>
  <si>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</si>
  <si>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</si>
  <si>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</si>
  <si>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</si>
  <si>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</si>
  <si>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</si>
  <si>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</si>
  <si>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third party professional company provided spreadsheet and verified from county website estimate.  See Tab 08 Readiness Subfolder Tab 01, Feasibility.
Insurance expense provided by insurance company. See Tab 08 Readiness Subfolder Tab 01, Feasibility.
Enriched property services provider cost associated with CORES 3rd Party Contractor are included in the On-Site Staff Costs above and estimated by management company.
Rents were determined by a market study and compared to max 2024 rents for the Fannin County, (effective as of April 1, 2024). The utility allowances and rents utilized are the most current in effect as of application date per the QAP.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</si>
  <si>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</si>
  <si>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</si>
  <si>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</si>
  <si>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</si>
  <si>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</si>
  <si>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</si>
  <si>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</si>
  <si>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</si>
  <si>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</si>
  <si>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</si>
  <si>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</si>
  <si>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</si>
  <si>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</si>
  <si>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</si>
  <si>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</si>
  <si>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</si>
  <si>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</si>
  <si>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</si>
  <si>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</si>
  <si>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</si>
  <si>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</si>
  <si>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</si>
  <si>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</si>
  <si>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</si>
  <si>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</si>
  <si>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</si>
  <si>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</si>
  <si>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</si>
  <si>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</si>
  <si>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</si>
  <si>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</si>
  <si>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</si>
  <si>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</si>
  <si>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</si>
  <si>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</si>
  <si>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</si>
  <si>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</si>
  <si>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</si>
  <si>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</si>
  <si>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</si>
  <si>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</si>
  <si>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</si>
  <si>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</si>
  <si>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</si>
  <si>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</si>
  <si>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</si>
  <si>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</si>
  <si>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</si>
  <si>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</si>
  <si>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</si>
  <si>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</si>
  <si>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</si>
  <si>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</si>
  <si>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</si>
  <si>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</si>
  <si>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</si>
  <si>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</si>
  <si>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</si>
  <si>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</si>
  <si>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</si>
  <si>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</si>
  <si>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Debt matches the Sources tab.  Deferred Developer fee projected to be paid off in 10 years.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</si>
  <si>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</si>
  <si>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</si>
  <si>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</si>
  <si>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</si>
  <si>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</si>
  <si>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</si>
  <si>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</si>
  <si>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</si>
  <si>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</si>
  <si>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</si>
  <si>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</si>
  <si>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</si>
  <si>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</si>
  <si>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</si>
  <si>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</si>
  <si>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</si>
  <si>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</si>
  <si>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</si>
  <si>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</si>
  <si>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</si>
  <si>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</si>
  <si>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</si>
  <si>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</si>
  <si>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</si>
  <si>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</si>
  <si>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</si>
  <si>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The Applicant has submitted an proposal which conforms to the 2024 QAP.   All costs for Development and Construction have been carefully underwritten by experienced estimators.  Federal ($0.80) and State ($0.50)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at time of application (per DCA instructions).  Likewise, utility allowances from DCA North Region have been used as those have been confirmed to be in effect at time of application.  Total Developer Fee and Deferred Developer Fee are within 2024 QAP limits.  This property is ideally situated for a market in great need for new family housing stock.  We have also spent a great amount of time searching for appropriate sites to develope a properly sized development within the constraints of the current construction market, noting the importance of maintaining the quality standards set by DCA and the limited resources available at this time.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</si>
  <si>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</si>
  <si>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</si>
  <si>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</si>
  <si>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</si>
  <si>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New affordability Family. </t>
  </si>
  <si>
    <t>SERVICES</t>
  </si>
  <si>
    <t>Applicant certifies that they will meet all requirements of the 2024-2025 QAP, III. Services.</t>
  </si>
  <si>
    <t>CAHEC Management and owner will meet all QAP repuirements</t>
  </si>
  <si>
    <t>MARKET FEASIBILITY (MARKET STUDY)</t>
  </si>
  <si>
    <t>Provide the name of the market study analyst used by applicant:</t>
  </si>
  <si>
    <t>Real Property Research Group</t>
  </si>
  <si>
    <t>Overall Market Occupancy Rate:</t>
  </si>
  <si>
    <t>Overall capture rate for:</t>
  </si>
  <si>
    <t>Tax Credit units</t>
  </si>
  <si>
    <t>Market rate units</t>
  </si>
  <si>
    <t>All capture rates are well below DCA thresholds with strong market area occupancy.  Mkt analyst recommends proceeding as proposed.</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</si>
  <si>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</si>
  <si>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</si>
  <si>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</si>
  <si>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</si>
  <si>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 xml:space="preserve">Not applicable at time of the 2024 application. </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</si>
  <si>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</si>
  <si>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</si>
  <si>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</si>
  <si>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</si>
  <si>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</si>
  <si>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</si>
  <si>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</si>
  <si>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</si>
  <si>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</si>
  <si>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</si>
  <si>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</si>
  <si>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Phase 1 completed on May 09, 2024 and included in the appropriate project folder for review. There are no recognized environmental conditions associated with the subject property and no further environmental study is recommended</t>
  </si>
  <si>
    <t>SITE CONTROL</t>
  </si>
  <si>
    <t>Form of site control:</t>
  </si>
  <si>
    <t>Purchase Contract</t>
  </si>
  <si>
    <t>Name of Entity with site control:</t>
  </si>
  <si>
    <t xml:space="preserve">Site is under control with Purchase and Sales agreement. </t>
  </si>
  <si>
    <t>VIII.</t>
  </si>
  <si>
    <t>SITE ACCESS</t>
  </si>
  <si>
    <t xml:space="preserve">The primary vehicular access point is located on the east property boundary connecting directly to U.S. 76/515 (Appalachian Highway) coordinates: 34.844039, -84.336024. 	</t>
  </si>
  <si>
    <t>IX.</t>
  </si>
  <si>
    <t>SITE ZONING</t>
  </si>
  <si>
    <t xml:space="preserve">Zoning letter is provided by Fannin County Land Development (Marie Woody, Chief Land Development Officer). Fannin County does not have a zoning ordinance as noted in folder. We will achieve all standards required in the Land Development code (included) as required for our land disturbance and building permit approvals, as shown on our site plan.   </t>
  </si>
  <si>
    <t>X.</t>
  </si>
  <si>
    <t>OPERATING UTILITIES</t>
  </si>
  <si>
    <t>Enter applicable utility provider name:</t>
  </si>
  <si>
    <t>Gas:</t>
  </si>
  <si>
    <t>NA</t>
  </si>
  <si>
    <t>Electric:</t>
  </si>
  <si>
    <t>Tri-State EMC</t>
  </si>
  <si>
    <t xml:space="preserve">Letter of service availability provided by Tri-State EMC engineering team. </t>
  </si>
  <si>
    <t>XI.</t>
  </si>
  <si>
    <t>PUBLIC WATER/SANITARY SEWER</t>
  </si>
  <si>
    <t>Enter applicable provider name:</t>
  </si>
  <si>
    <t>Public water:</t>
  </si>
  <si>
    <t>City of Blue Ridge</t>
  </si>
  <si>
    <t>Sanitary sewer:</t>
  </si>
  <si>
    <t>Letter of service availability and capacity provided by City of Blue Ridge water and sewer department (Rebecca Harkins, Utility Director). While the development site is within unincorporated Fannin County the City of Blue Ridge provides water/sewer to this location. Water and Sewer are within the public ROW.</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</si>
  <si>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</si>
  <si>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</si>
  <si>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</si>
  <si>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</si>
  <si>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</si>
  <si>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</si>
  <si>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</si>
  <si>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</si>
  <si>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</si>
  <si>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</si>
  <si>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</si>
  <si>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</si>
  <si>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</si>
  <si>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</si>
  <si>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</si>
  <si>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</si>
  <si>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</si>
  <si>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Furnished Exercise /Fitness Center</t>
  </si>
  <si>
    <t>3)</t>
  </si>
  <si>
    <t>(Select an amenity from options provided here)</t>
  </si>
  <si>
    <t>4)</t>
  </si>
  <si>
    <t xml:space="preserve">Applicant will meet standards of 2024 QAP, and architectural manual. </t>
  </si>
  <si>
    <t>XIII.</t>
  </si>
  <si>
    <t>REHABILITATION STANDARDS</t>
  </si>
  <si>
    <t>Has this Application received a Waiver from DCA for criteria in this section?</t>
  </si>
  <si>
    <t>Type of rehab (choose one):</t>
  </si>
  <si>
    <t>Name of consultant preparing PNA:</t>
  </si>
  <si>
    <t xml:space="preserve">Does not apply to application. </t>
  </si>
  <si>
    <t>XIV.</t>
  </si>
  <si>
    <t>SITE INFORMATION AND CONCEPTUAL SITE DEVELOPMENT PLAN</t>
  </si>
  <si>
    <t>Conceptual site development plan has been prepared in accordance with all instructions and requirements of the Architectural Manual.  Site is wells suited for the proposed development.</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</si>
  <si>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</si>
  <si>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</si>
  <si>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</si>
  <si>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</si>
  <si>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</si>
  <si>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</si>
  <si>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</si>
  <si>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The development will achieve the EarthCraft Multifamily certification. A preliminary ECMF spreadsheet is provided.</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</si>
  <si>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</si>
  <si>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</si>
  <si>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</si>
  <si>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</si>
  <si>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</si>
  <si>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</si>
  <si>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</si>
  <si>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</si>
  <si>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</si>
  <si>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</si>
  <si>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</si>
  <si>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</si>
  <si>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</si>
  <si>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</si>
  <si>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</si>
  <si>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</si>
  <si>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</si>
  <si>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 and Associates</t>
  </si>
  <si>
    <t>Is this Consultant a member of the proposed Project Team?</t>
  </si>
  <si>
    <t>Is there an Identity of Interest between this Consultant and anyone in the Project Team?</t>
  </si>
  <si>
    <t>The applicand, design team, and accessiblity consultant are well versed in meeting design quality standards fro accessiblity and fair housing.</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</si>
  <si>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</si>
  <si>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</si>
  <si>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</si>
  <si>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</si>
  <si>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</si>
  <si>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</si>
  <si>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</si>
  <si>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</si>
  <si>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</si>
  <si>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 xml:space="preserve">The applicant and design team are highly experienced developing communities which have been well received in markets across Georgia.  The development will meet all requirements of the 2024 Architectural manual.  </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</si>
  <si>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</si>
  <si>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</si>
  <si>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</si>
  <si>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</si>
  <si>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</si>
  <si>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</si>
  <si>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</si>
  <si>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</si>
  <si>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</si>
  <si>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</si>
  <si>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 xml:space="preserve"> Project team was deemed "Qualified" by DCA on 5/01/2024 for a smilar project, Abbington Bluff (2024QD087). The same develoment team as was proposed at pre-application for Abbington Bluff will comprise the development team for Abbington Blue Ridge.  There has been no change to the Project Team since Pre-App.</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</si>
  <si>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</si>
  <si>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</si>
  <si>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</si>
  <si>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</si>
  <si>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</si>
  <si>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</si>
  <si>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</si>
  <si>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</si>
  <si>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</si>
  <si>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</si>
  <si>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</si>
  <si>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</si>
  <si>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 xml:space="preserve">This section does not apply to the application. </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</si>
  <si>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</si>
  <si>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</si>
  <si>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</si>
  <si>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</si>
  <si>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</si>
  <si>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</si>
  <si>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</si>
  <si>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</si>
  <si>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</si>
  <si>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</si>
  <si>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 xml:space="preserve">No legal opinions were required for this application. Not proposing an acquisition or an assisted living facility.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</si>
  <si>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</si>
  <si>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</si>
  <si>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</si>
  <si>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</si>
  <si>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</si>
  <si>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</si>
  <si>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 xml:space="preserve">This application does not include an occupied development. There are two dilapidated and long term unoccupied single family homes on the property that will be demolished during the construction phase. </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</si>
  <si>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</si>
  <si>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</si>
  <si>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</si>
  <si>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</si>
  <si>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and Management Agent has and will continue to promote and facilitate AFFH.</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</si>
  <si>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</si>
  <si>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</si>
  <si>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</si>
  <si>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</si>
  <si>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</si>
  <si>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</si>
  <si>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 xml:space="preserve">Applicant and Management Agent will comply with all supportive housing requirements of the 2024 QAP and currently has all appropriate management policies in place.  </t>
  </si>
  <si>
    <t>XXV.</t>
  </si>
  <si>
    <t>TENANT SELECTION</t>
  </si>
  <si>
    <t>Applicant certifies they will meet the requirements of the 2024-2025 QAP, XXV. Tenant Selection section and the 2024 Compliance Manual.</t>
  </si>
  <si>
    <t xml:space="preserve">Applicant and Management Agent will comply with tenant selection requirements of the 2024 QAP. </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</si>
  <si>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</si>
  <si>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</si>
  <si>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</si>
  <si>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</si>
  <si>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 xml:space="preserve">Applicant agrees to accept DCA PBRA agreements if asked. </t>
  </si>
  <si>
    <t>XXVII.</t>
  </si>
  <si>
    <t>OPTIMAL UTILIZATION OF RESOURCES</t>
  </si>
  <si>
    <t xml:space="preserve">Applicant believes the design we are pursuing is appropriate for the site, and best utilizes the sub base for construction in this market.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</si>
  <si>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</si>
  <si>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</si>
  <si>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</si>
  <si>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</si>
  <si>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</si>
  <si>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</si>
  <si>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</si>
  <si>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</si>
  <si>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</si>
  <si>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</si>
  <si>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</si>
  <si>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</si>
  <si>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</si>
  <si>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</si>
  <si>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</si>
  <si>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</si>
  <si>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</si>
  <si>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</si>
  <si>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</si>
  <si>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</si>
  <si>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</si>
  <si>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</si>
  <si>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</si>
  <si>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</si>
  <si>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</si>
  <si>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</si>
  <si>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</si>
  <si>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</si>
  <si>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</si>
  <si>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</si>
  <si>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</si>
  <si>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</si>
  <si>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</si>
  <si>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</si>
  <si>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</si>
  <si>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</si>
  <si>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</si>
  <si>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</si>
  <si>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</si>
  <si>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</si>
  <si>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</si>
  <si>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</si>
  <si>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</si>
  <si>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</si>
  <si>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</si>
  <si>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</si>
  <si>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</si>
  <si>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</si>
  <si>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</si>
  <si>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</si>
  <si>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</si>
  <si>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</si>
  <si>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</si>
  <si>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</si>
  <si>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</si>
  <si>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</si>
  <si>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</si>
  <si>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</si>
  <si>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</si>
  <si>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</si>
  <si>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</si>
  <si>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</si>
  <si>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</si>
  <si>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</si>
  <si>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</si>
  <si>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</si>
  <si>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</si>
  <si>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</si>
  <si>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</si>
  <si>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</si>
  <si>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</si>
  <si>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</si>
  <si>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</si>
  <si>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</si>
  <si>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</si>
  <si>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</si>
  <si>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</si>
  <si>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</si>
  <si>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</si>
  <si>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</si>
  <si>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</si>
  <si>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</si>
  <si>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</si>
  <si>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</si>
  <si>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</si>
  <si>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</si>
  <si>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</si>
  <si>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</si>
  <si>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</si>
  <si>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</si>
  <si>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</si>
  <si>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</si>
  <si>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</si>
  <si>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</si>
  <si>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</si>
  <si>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</si>
  <si>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</si>
  <si>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</si>
  <si>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</si>
  <si>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</si>
  <si>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</si>
  <si>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</si>
  <si>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</si>
  <si>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</si>
  <si>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</si>
  <si>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</si>
  <si>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</si>
  <si>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</si>
  <si>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</si>
  <si>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</si>
  <si>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</si>
  <si>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</si>
  <si>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</si>
  <si>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</si>
  <si>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</si>
  <si>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</si>
  <si>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</si>
  <si>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</si>
  <si>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</si>
  <si>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</si>
  <si>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</si>
  <si>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</si>
  <si>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</si>
  <si>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</si>
  <si>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</si>
  <si>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</si>
  <si>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N/a</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</si>
  <si>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</si>
  <si>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</si>
  <si>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</si>
  <si>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</si>
  <si>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</si>
  <si>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</si>
  <si>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</si>
  <si>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</si>
  <si>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N/A</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</si>
  <si>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</si>
  <si>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</si>
  <si>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</si>
  <si>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</si>
  <si>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</si>
  <si>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</si>
  <si>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</si>
  <si>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</si>
  <si>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</si>
  <si>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</si>
  <si>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</si>
  <si>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</si>
  <si>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</si>
  <si>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</si>
  <si>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</si>
  <si>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</si>
  <si>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 xml:space="preserve">Applicant will engage with MBWB qualified businesses per the guidelines applicable in the QAP.  Applicant has a long history of working with Minority and Women owned businesses throughout Georgia and other states.  															</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</si>
  <si>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</si>
  <si>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</si>
  <si>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</si>
  <si>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</si>
  <si>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</si>
  <si>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</si>
  <si>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</si>
  <si>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</si>
  <si>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</si>
  <si>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</si>
  <si>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</si>
  <si>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</si>
  <si>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</si>
  <si>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</si>
  <si>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</si>
  <si>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</si>
  <si>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</si>
  <si>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</si>
  <si>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</si>
  <si>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</si>
  <si>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</si>
  <si>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</si>
  <si>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</si>
  <si>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</si>
  <si>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</si>
  <si>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</si>
  <si>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</si>
  <si>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</si>
  <si>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</si>
  <si>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</si>
  <si>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</si>
  <si>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</si>
  <si>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</si>
  <si>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</si>
  <si>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</si>
  <si>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</si>
  <si>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</si>
  <si>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</si>
  <si>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 xml:space="preserve">No favorable financing applied. </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</si>
  <si>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</si>
  <si>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</si>
  <si>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</si>
  <si>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</si>
  <si>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</si>
  <si>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</si>
  <si>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</si>
  <si>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</si>
  <si>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</si>
  <si>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</si>
  <si>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</si>
  <si>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</si>
  <si>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</si>
  <si>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</si>
  <si>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</si>
  <si>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</si>
  <si>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</si>
  <si>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</si>
  <si>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</si>
  <si>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</si>
  <si>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Applicant has included signed MOU in respective folder. Applicant has a solid history with Section 811 utlization on properties with DCA.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</si>
  <si>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</si>
  <si>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</si>
  <si>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</si>
  <si>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</si>
  <si>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</si>
  <si>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</si>
  <si>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</si>
  <si>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</si>
  <si>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</si>
  <si>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</si>
  <si>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</si>
  <si>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</si>
  <si>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</si>
  <si>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</si>
  <si>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</si>
  <si>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</si>
  <si>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</si>
  <si>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</si>
  <si>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</si>
  <si>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Readiness to Proceed Documents have been included in folder 08.  We have utilized the folder structure for Threshold Review inside of folder 08 in order to best organize the documents for DCA.  The follwoing are the locations of the readiness to proceed items for further clarity: Site Control is in folder - 0807, Site Zoning folder - 0809, Public Water/Sewer - 0811, Operating Utilities - 0810, CSPD and Site Information - 0814, Preliminary Financing - 0801, Phase 1 - 0806, Estimate provided by General Contractor - 0801 Feasiblity along with the financing commitments, Market Study - 0804. </t>
  </si>
  <si>
    <t>We have our full development team including civil engineer and surveyor ready to go, lets go!</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</si>
  <si>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</si>
  <si>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</si>
  <si>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</si>
  <si>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</si>
  <si>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</si>
  <si>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</si>
  <si>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</si>
  <si>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</si>
  <si>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</si>
  <si>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</si>
  <si>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</si>
  <si>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 xml:space="preserve">Applicant will comply with QAP requirements. Applicant has been in coorespondence with the Blue Ridge Housing Authority. </t>
  </si>
  <si>
    <t>DESIRABLE AND UNDESIRABLE ACTIVITIES</t>
  </si>
  <si>
    <t>Desirable Activities</t>
  </si>
  <si>
    <t xml:space="preserve">Undesirable/Inefficient Site Activities/Characteristics   </t>
  </si>
  <si>
    <t>various</t>
  </si>
  <si>
    <t xml:space="preserve">The development site is within the required driving distance to achieve over 20 points in desirables. Also the cool summers in the north Georgia mountain areas are very desirable. </t>
  </si>
  <si>
    <t>COMMUNITY TRANSPORTATION OPTIONS</t>
  </si>
  <si>
    <t>Geo Coordinates (##.######) for:</t>
  </si>
  <si>
    <t>Latitude:</t>
  </si>
  <si>
    <t>Longitude:</t>
  </si>
  <si>
    <t>Walking Distance (miles)</t>
  </si>
  <si>
    <t>Pedestrian Site Entrance:</t>
  </si>
  <si>
    <t xml:space="preserve">34.844039		</t>
  </si>
  <si>
    <t xml:space="preserve">84.336024	</t>
  </si>
  <si>
    <t>Proposed Transit Hub/Stop:</t>
  </si>
  <si>
    <t>Transit Agency/Service:     Name</t>
  </si>
  <si>
    <t>Phone #</t>
  </si>
  <si>
    <t>Email</t>
  </si>
  <si>
    <t>Website URL</t>
  </si>
  <si>
    <t>The Mountain Area Transportation System (M.A.T.S.)</t>
  </si>
  <si>
    <t>706-632-7203</t>
  </si>
  <si>
    <t>kallen@fannincountyga.org</t>
  </si>
  <si>
    <t>https://www.fannincountyga.com/m-a-t-s-transit-service/</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</si>
  <si>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</si>
  <si>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</si>
  <si>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</si>
  <si>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</si>
  <si>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</si>
  <si>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</si>
  <si>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</si>
  <si>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</si>
  <si>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</si>
  <si>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</si>
  <si>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</si>
  <si>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Rural transit service serving all of Fannin County. Hours: Monday through Friday 7:00am to 3:30pm;  Rates: $2.00 one way, up to 10 miles; $3.00 one way, over 10 miles</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</si>
  <si>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</si>
  <si>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</si>
  <si>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</si>
  <si>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</si>
  <si>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</si>
  <si>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</si>
  <si>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Blue Ridge Elementary School</t>
  </si>
  <si>
    <t>Fannin County Middle School</t>
  </si>
  <si>
    <t>Fannin County High School</t>
  </si>
  <si>
    <t xml:space="preserve">Fannin County school system. No maps available but letter from administration provided to confirm schools for the development parcel. All assisgned schools score under 2018 BTO, 2019 BTO or Option C.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</si>
  <si>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</si>
  <si>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</si>
  <si>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</si>
  <si>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</si>
  <si>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</si>
  <si>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</si>
  <si>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</si>
  <si>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</si>
  <si>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</si>
  <si>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</si>
  <si>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</si>
  <si>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</si>
  <si>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</si>
  <si>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</si>
  <si>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</si>
  <si>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</si>
  <si>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</si>
  <si>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</si>
  <si>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</si>
  <si>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</si>
  <si>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</si>
  <si>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</si>
  <si>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</si>
  <si>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</si>
  <si>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</si>
  <si>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</si>
  <si>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</si>
  <si>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</si>
  <si>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 xml:space="preserve">Site does not qualify for revitilization category. </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</si>
  <si>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</si>
  <si>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</si>
  <si>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</si>
  <si>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</si>
  <si>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</si>
  <si>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</si>
  <si>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</si>
  <si>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</si>
  <si>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</si>
  <si>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</si>
  <si>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</si>
  <si>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</si>
  <si>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</si>
  <si>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</si>
  <si>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</si>
  <si>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</si>
  <si>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</si>
  <si>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</si>
  <si>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</si>
  <si>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</si>
  <si>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</si>
  <si>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</si>
  <si>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</si>
  <si>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</si>
  <si>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Above poverty level</t>
  </si>
  <si>
    <t>2020 and 2021</t>
  </si>
  <si>
    <t>Median Income</t>
  </si>
  <si>
    <t>At or below 50th</t>
  </si>
  <si>
    <t xml:space="preserve">Census tract 13111050400, scores above 50th percentaile in Environmental Health, Transit Access, Jobs Proximity, and Above Poverty Level. Applicant has included PDF of each Stable Communities Indicator for our census tract. Census tract scores in both data sets 2020 and 2021 for Above Poverty Level indicator. </t>
  </si>
  <si>
    <t>COMMUNITY DESIGNATIONS</t>
  </si>
  <si>
    <t>HUD Choice Neighborhood Implementation (CNI) Grant</t>
  </si>
  <si>
    <t>Purpose Built Communities</t>
  </si>
  <si>
    <t xml:space="preserve">Not claiming points in this section. </t>
  </si>
  <si>
    <t>PHASED DEVELOPMENT</t>
  </si>
  <si>
    <t>Proposed project is part of a Phased Development?</t>
  </si>
  <si>
    <t>DCA Project #</t>
  </si>
  <si>
    <t>Construction Commencement Date</t>
  </si>
  <si>
    <t>First phase:</t>
  </si>
  <si>
    <t>If applicable, second phase:</t>
  </si>
  <si>
    <t xml:space="preserve">Applicant plans to explore a potential second phase to this development. . </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</si>
  <si>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</si>
  <si>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</si>
  <si>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</si>
  <si>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</si>
  <si>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</si>
  <si>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</si>
  <si>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</si>
  <si>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</si>
  <si>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</si>
  <si>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</si>
  <si>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 xml:space="preserve">Fannin County has 0.238% (2021) or 0.236% (2022) LIHTC units as percentage of population in the past 15 years (2 points for 0.15 to 0.25%) and 0% LIHTC units as percentage of population in the past 5 years (1 point for under 0.15%) for a total of 3 points.  </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</si>
  <si>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</si>
  <si>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</si>
  <si>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</si>
  <si>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</si>
  <si>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</si>
  <si>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</si>
  <si>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</si>
  <si>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</si>
  <si>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</si>
  <si>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</si>
  <si>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</si>
  <si>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Harrah’s Cherokee Valley River Casino &amp; Hotel expansion</t>
  </si>
  <si>
    <t>777 Casino Pkwy</t>
  </si>
  <si>
    <t>Murphy NC</t>
  </si>
  <si>
    <t>Fannin County: Project 2026</t>
  </si>
  <si>
    <t>Blue Ridge GA</t>
  </si>
  <si>
    <t>under 30</t>
  </si>
  <si>
    <t>Advanced Digital Cable</t>
  </si>
  <si>
    <t>326 S River Rd</t>
  </si>
  <si>
    <t>Blairsville GA</t>
  </si>
  <si>
    <t xml:space="preserve">The Harrah's Cherokee Casino parcel boundary at 35.11655339960503, -83.99397907657875,  is under 30 miles from our development site entrance.  Currently the casino and hotel are undergoing a $275M expansion expected to be complete in 2024. The project includes a 25,000-square-foot gaming floor expansion and a new 296-room hotel tower. Fannin County has provided a letter explaining the Project 2026 which is currently in process. The project will be located in Fannin County and the entirity of the county will fall within 30 miles driving distance of our development site entrance. ADC is expanding again in Blairsville GA.  </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</si>
  <si>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</si>
  <si>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</si>
  <si>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</si>
  <si>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</si>
  <si>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</si>
  <si>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</si>
  <si>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</si>
  <si>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</si>
  <si>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</si>
  <si>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</si>
  <si>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</si>
  <si>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</si>
  <si>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</si>
  <si>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 xml:space="preserve">Applicant will engage a 3rd party contractor to provide required services. </t>
  </si>
  <si>
    <t>DCA COMMUNITY INITIATIVES</t>
  </si>
  <si>
    <t>Georgia Initiative for Community Housing (GICH)</t>
  </si>
  <si>
    <t>Enter GICH Community Name</t>
  </si>
  <si>
    <t xml:space="preserve">Property is not in a GICH community. </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</si>
  <si>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</si>
  <si>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</si>
  <si>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</si>
  <si>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</si>
  <si>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</si>
  <si>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</si>
  <si>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</si>
  <si>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</si>
  <si>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</si>
  <si>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</si>
  <si>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</si>
  <si>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</si>
  <si>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</si>
  <si>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</si>
  <si>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</si>
  <si>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</si>
  <si>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</si>
  <si>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</si>
  <si>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</si>
  <si>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</si>
  <si>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</si>
  <si>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</si>
  <si>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</si>
  <si>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</si>
  <si>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</si>
  <si>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</si>
  <si>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</si>
  <si>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</si>
  <si>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</si>
  <si>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</si>
  <si>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</si>
  <si>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</si>
  <si>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</si>
  <si>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</si>
  <si>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</si>
  <si>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</si>
  <si>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</si>
  <si>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</si>
  <si>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 xml:space="preserve">Affordable workforce housing is long overdue in this market.  There is a tremendous demand employees in the area, and every economic development director we spoke with, was very exited about the possiblity of adding workforce housing to their communities to help busineses both existing, new, and proposed to flourish and better serve the needs of their communities.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</si>
  <si>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</si>
  <si>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</si>
  <si>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</si>
  <si>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</si>
  <si>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</si>
  <si>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</si>
  <si>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</si>
  <si>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</si>
  <si>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</si>
  <si>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</si>
  <si>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</si>
  <si>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</si>
  <si>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</si>
  <si>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</si>
  <si>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</si>
  <si>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</si>
  <si>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</si>
  <si>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</si>
  <si>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</si>
  <si>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</si>
  <si>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</si>
  <si>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</si>
  <si>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</si>
  <si>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</si>
  <si>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</si>
  <si>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</si>
  <si>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</si>
  <si>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</si>
  <si>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</si>
  <si>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</si>
  <si>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</si>
  <si>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</si>
  <si>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</si>
  <si>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</si>
  <si>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</si>
  <si>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</si>
  <si>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</si>
  <si>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</si>
  <si>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</si>
  <si>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</si>
  <si>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</si>
  <si>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</si>
  <si>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</si>
  <si>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</si>
  <si>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</si>
  <si>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</si>
  <si>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</si>
  <si>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</si>
  <si>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</si>
  <si>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</si>
  <si>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</si>
  <si>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</si>
  <si>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</si>
  <si>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</si>
  <si>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</si>
  <si>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</si>
  <si>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</si>
  <si>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</si>
  <si>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</si>
  <si>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</si>
  <si>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</si>
  <si>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</si>
  <si>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</si>
  <si>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</si>
  <si>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</si>
  <si>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</si>
  <si>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</si>
  <si>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</si>
  <si>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</si>
  <si>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</si>
  <si>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</si>
  <si>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</si>
  <si>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</si>
  <si>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</si>
  <si>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</si>
  <si>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</si>
  <si>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</si>
  <si>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</si>
  <si>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</si>
  <si>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</si>
  <si>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</si>
  <si>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</si>
  <si>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</si>
  <si>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</si>
  <si>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</si>
  <si>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</si>
  <si>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</si>
  <si>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</si>
  <si>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</si>
  <si>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</si>
  <si>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</si>
  <si>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</si>
  <si>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</si>
  <si>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</si>
  <si>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</si>
  <si>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</si>
  <si>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</si>
  <si>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</si>
  <si>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</si>
  <si>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</si>
  <si>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</si>
  <si>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</si>
  <si>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</si>
  <si>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</si>
  <si>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</si>
  <si>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</si>
  <si>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</si>
  <si>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</si>
  <si>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</si>
  <si>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</si>
  <si>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</si>
  <si>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</si>
  <si>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</si>
  <si>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</si>
  <si>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</si>
  <si>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</si>
  <si>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</si>
  <si>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</si>
  <si>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</si>
  <si>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</si>
  <si>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</si>
  <si>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</si>
  <si>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</si>
  <si>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</si>
  <si>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</si>
  <si>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</si>
  <si>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</si>
  <si>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</si>
  <si>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</si>
  <si>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</si>
  <si>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</si>
  <si>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</si>
  <si>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</si>
  <si>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</si>
  <si>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</si>
  <si>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</si>
  <si>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</si>
  <si>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</si>
  <si>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</si>
  <si>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</si>
  <si>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</si>
  <si>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</si>
  <si>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</si>
  <si>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</si>
  <si>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</si>
  <si>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</si>
  <si>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</si>
  <si>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</si>
  <si>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</si>
  <si>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</si>
  <si>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</si>
  <si>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</si>
  <si>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</si>
  <si>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</si>
  <si>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</si>
  <si>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</si>
  <si>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</si>
  <si>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</si>
  <si>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</si>
  <si>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</si>
  <si>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</si>
  <si>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</si>
  <si>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</si>
  <si>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</si>
  <si>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</si>
  <si>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</si>
  <si>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</si>
  <si>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</si>
  <si>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</si>
  <si>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</si>
  <si>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</si>
  <si>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</si>
  <si>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</si>
  <si>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</si>
  <si>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</si>
  <si>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</si>
  <si>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</si>
  <si>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</si>
  <si>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</si>
  <si>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</si>
  <si>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</si>
  <si>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</si>
  <si>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</si>
  <si>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</si>
  <si>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</si>
  <si>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</si>
  <si>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</si>
  <si>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</si>
  <si>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</si>
  <si>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</si>
  <si>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</si>
  <si>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</si>
  <si>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</si>
  <si>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</si>
  <si>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</si>
  <si>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</si>
  <si>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</si>
  <si>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</si>
  <si>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</si>
  <si>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</si>
  <si>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</si>
  <si>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</si>
  <si>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</si>
  <si>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</si>
  <si>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</si>
  <si>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</si>
  <si>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</si>
  <si>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</si>
  <si>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</si>
  <si>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</si>
  <si>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</si>
  <si>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</si>
  <si>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</si>
  <si>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</si>
  <si>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</si>
  <si>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</si>
  <si>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</si>
  <si>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</si>
  <si>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</si>
  <si>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</si>
  <si>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</si>
  <si>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</si>
  <si>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</si>
  <si>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</si>
  <si>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</si>
  <si>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</si>
  <si>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</si>
  <si>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</si>
  <si>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</si>
  <si>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</si>
  <si>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</si>
  <si>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</si>
  <si>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</si>
  <si>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</si>
  <si>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</si>
  <si>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</si>
  <si>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</si>
  <si>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</si>
  <si>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</si>
  <si>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</si>
  <si>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</si>
  <si>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</si>
  <si>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</si>
  <si>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</si>
  <si>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</si>
  <si>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</si>
  <si>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</si>
  <si>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</si>
  <si>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</si>
  <si>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</si>
  <si>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</si>
  <si>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</si>
  <si>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Eric J. Buffenbarger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</si>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</sst>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b/>
      <sz val="9"/>
      <color rgb="FF000000"/>
      <name val="Tahoma"/>
      <family val="2"/>
    </font>
    <font>
      <sz val="9"/>
      <color rgb="FF000000"/>
      <name val="Tahoma"/>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9" fillId="5" borderId="106" xfId="37" applyFont="1" applyFill="1" applyBorder="1" applyAlignment="1" applyProtection="1">
      <alignment horizontal="center" vertical="center"/>
      <protection locked="0"/>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95"/>
  <cols>
    <col min="1" max="1" width="171.42578125" customWidth="1"/>
  </cols>
  <sheetData>
    <row r="1" spans="1:6" ht="15" customHeight="1">
      <c r="A1" s="505" t="s">
        <v>0</v>
      </c>
    </row>
    <row r="2" spans="1:6" ht="15" customHeight="1">
      <c r="A2" s="506" t="str">
        <f>'Part I-Project Identification'!F26</f>
        <v>Abbington Blue Ridge</v>
      </c>
    </row>
    <row r="3" spans="1:6" ht="15" customHeight="1">
      <c r="A3" s="506" t="str">
        <f>CONCATENATE('Part I-Project Identification'!F27,", ", 'Part I-Project Identification'!J27," County")</f>
        <v>Blue Ridge, Fannin County</v>
      </c>
    </row>
    <row r="4" spans="1:6" ht="12" customHeight="1">
      <c r="A4" s="822"/>
    </row>
    <row r="5" spans="1:6" ht="72" customHeight="1">
      <c r="A5" s="2638" t="s">
        <v>1</v>
      </c>
      <c r="B5" s="2639" t="s">
        <v>2</v>
      </c>
      <c r="C5" s="2639"/>
      <c r="D5" s="2639"/>
      <c r="E5" s="2639"/>
      <c r="F5" s="2639"/>
    </row>
    <row r="6" spans="1:6" ht="6.75" customHeight="1">
      <c r="A6" s="2638"/>
      <c r="B6" s="2639"/>
      <c r="C6" s="2639"/>
      <c r="D6" s="2639"/>
      <c r="E6" s="2639"/>
      <c r="F6" s="2639"/>
    </row>
    <row r="7" spans="1:6" ht="72" customHeight="1">
      <c r="A7" s="2638"/>
      <c r="B7" s="2639"/>
      <c r="C7" s="2639"/>
      <c r="D7" s="2639"/>
      <c r="E7" s="2639"/>
      <c r="F7" s="2639"/>
    </row>
    <row r="8" spans="1:6" ht="6.75" customHeight="1">
      <c r="A8" s="2638"/>
    </row>
    <row r="9" spans="1:6" ht="72" customHeight="1">
      <c r="A9" s="2638"/>
    </row>
    <row r="10" spans="1:6" ht="6.75" customHeight="1">
      <c r="A10" s="2638"/>
    </row>
    <row r="11" spans="1:6" ht="72" customHeight="1">
      <c r="A11" s="2638"/>
    </row>
    <row r="12" spans="1:6" ht="6.75" customHeight="1">
      <c r="A12" s="2638"/>
    </row>
    <row r="13" spans="1:6" ht="72" customHeight="1">
      <c r="A13" s="2638"/>
    </row>
    <row r="14" spans="1:6" ht="6.75" customHeight="1">
      <c r="A14" s="2638"/>
    </row>
    <row r="15" spans="1:6" ht="72" customHeight="1">
      <c r="A15" s="2638"/>
    </row>
    <row r="16" spans="1:6" ht="6.75" customHeight="1">
      <c r="A16" s="2638"/>
    </row>
    <row r="17" spans="1:1" ht="72" customHeight="1">
      <c r="A17" s="2638"/>
    </row>
    <row r="18" spans="1:1" ht="6.75" customHeight="1">
      <c r="A18" s="2638"/>
    </row>
    <row r="19" spans="1:1" ht="72" customHeight="1">
      <c r="A19" s="2638"/>
    </row>
    <row r="20" spans="1:1" ht="6.75" customHeight="1">
      <c r="A20" s="2638"/>
    </row>
    <row r="21" spans="1:1" ht="72" customHeight="1">
      <c r="A21" s="2638"/>
    </row>
    <row r="22" spans="1:1" ht="6.75"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25" zoomScale="140" zoomScaleNormal="140" workbookViewId="0">
      <selection activeCell="P258" sqref="P258"/>
    </sheetView>
  </sheetViews>
  <sheetFormatPr defaultColWidth="9.28515625" defaultRowHeight="12.95"/>
  <cols>
    <col min="1" max="1" width="2.7109375" style="4" customWidth="1"/>
    <col min="2" max="2" width="10" style="4" customWidth="1"/>
    <col min="3" max="3" width="7.42578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42578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807</v>
      </c>
      <c r="C1" s="1294" t="s">
        <v>808</v>
      </c>
      <c r="D1" s="1294" t="s">
        <v>809</v>
      </c>
      <c r="E1" s="1294" t="s">
        <v>810</v>
      </c>
      <c r="F1" s="1294" t="s">
        <v>811</v>
      </c>
      <c r="G1" s="1294" t="s">
        <v>812</v>
      </c>
      <c r="H1" s="1294" t="s">
        <v>813</v>
      </c>
      <c r="I1" s="1294" t="s">
        <v>814</v>
      </c>
      <c r="J1" s="1294" t="s">
        <v>815</v>
      </c>
      <c r="K1" s="1294" t="s">
        <v>816</v>
      </c>
      <c r="L1" s="1294" t="s">
        <v>817</v>
      </c>
      <c r="M1" s="1294" t="s">
        <v>818</v>
      </c>
      <c r="N1" s="1294" t="s">
        <v>819</v>
      </c>
      <c r="O1" s="1294" t="s">
        <v>820</v>
      </c>
      <c r="P1" s="1294" t="s">
        <v>821</v>
      </c>
      <c r="Q1" s="1294" t="s">
        <v>822</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25" customHeight="1">
      <c r="A2" s="3106" t="str">
        <f>CONCATENATE("PART FOUR - PROJECTED REVENUES &amp; EXPENSES","  -  ",'Part I-Project Identification'!$O$7," ",'Part I-Project Identification'!$F$26,", ",'Part I-Project Identification'!F27,", ",'Part I-Project Identification'!J27," County")</f>
        <v>PART FOUR - PROJECTED REVENUES &amp; EXPENSES  -  2024-0 Abbington Blue Ridge, Blue Ridge, Fannin County</v>
      </c>
      <c r="B2" s="3107"/>
      <c r="C2" s="3107"/>
      <c r="D2" s="3107"/>
      <c r="E2" s="3107"/>
      <c r="F2" s="3107"/>
      <c r="G2" s="3107"/>
      <c r="H2" s="3107"/>
      <c r="I2" s="3107"/>
      <c r="J2" s="3107"/>
      <c r="K2" s="3107"/>
      <c r="L2" s="3107"/>
      <c r="M2" s="3107"/>
      <c r="N2" s="3107"/>
      <c r="O2" s="3107"/>
      <c r="P2" s="3107"/>
      <c r="Q2" s="3108"/>
      <c r="T2" s="1058" t="str">
        <f>A2</f>
        <v>PART FOUR - PROJECTED REVENUES &amp; EXPENSES  -  2024-0 Abbington Blue Ridge, Blue Ridge, Fannin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75" customHeight="1">
      <c r="A4" s="3" t="s">
        <v>21</v>
      </c>
      <c r="B4" s="3" t="s">
        <v>823</v>
      </c>
      <c r="C4" s="43"/>
      <c r="D4" s="1120" t="s">
        <v>824</v>
      </c>
      <c r="E4" s="1120"/>
      <c r="F4" s="1120"/>
      <c r="G4" s="1120"/>
      <c r="H4" s="1120"/>
      <c r="I4" s="1120"/>
      <c r="J4" s="1120"/>
      <c r="K4" s="59"/>
      <c r="L4" s="59"/>
      <c r="M4" s="59"/>
      <c r="O4" s="104" t="s">
        <v>825</v>
      </c>
      <c r="P4" s="3109" t="str">
        <f>'Part I-Project Identification'!$O$29</f>
        <v>Fannin Co.</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826</v>
      </c>
      <c r="IF4" s="2604" t="s">
        <v>827</v>
      </c>
      <c r="IG4" s="2604" t="s">
        <v>828</v>
      </c>
      <c r="IH4" s="2604" t="s">
        <v>829</v>
      </c>
      <c r="II4" s="2604" t="s">
        <v>830</v>
      </c>
      <c r="IJ4" s="2604" t="s">
        <v>826</v>
      </c>
      <c r="IK4" s="2604" t="s">
        <v>827</v>
      </c>
      <c r="IL4" s="2604" t="s">
        <v>828</v>
      </c>
      <c r="IM4" s="2604" t="s">
        <v>829</v>
      </c>
      <c r="IN4" s="2604" t="s">
        <v>830</v>
      </c>
      <c r="IO4" s="338"/>
      <c r="IP4" s="338"/>
      <c r="IQ4" s="338"/>
      <c r="IR4" s="338"/>
      <c r="IS4" s="338"/>
      <c r="IT4" s="338"/>
      <c r="IU4" s="338"/>
      <c r="IV4" s="338"/>
      <c r="IW4" s="338"/>
      <c r="IX4" s="338"/>
      <c r="IY4" s="2604" t="s">
        <v>826</v>
      </c>
      <c r="IZ4" s="2604" t="s">
        <v>827</v>
      </c>
      <c r="JA4" s="2604" t="s">
        <v>828</v>
      </c>
      <c r="JB4" s="2604" t="s">
        <v>829</v>
      </c>
      <c r="JC4" s="2604" t="s">
        <v>830</v>
      </c>
      <c r="JD4" s="2604" t="s">
        <v>826</v>
      </c>
      <c r="JE4" s="2604" t="s">
        <v>827</v>
      </c>
      <c r="JF4" s="2604" t="s">
        <v>828</v>
      </c>
      <c r="JG4" s="2604" t="s">
        <v>829</v>
      </c>
      <c r="JH4" s="2604" t="s">
        <v>830</v>
      </c>
      <c r="JI4" s="2604" t="s">
        <v>826</v>
      </c>
      <c r="JJ4" s="2604" t="s">
        <v>827</v>
      </c>
      <c r="JK4" s="2604" t="s">
        <v>828</v>
      </c>
      <c r="JL4" s="2604" t="s">
        <v>829</v>
      </c>
      <c r="JM4" s="2604" t="s">
        <v>830</v>
      </c>
      <c r="JN4" s="2604" t="s">
        <v>826</v>
      </c>
      <c r="JO4" s="2604" t="s">
        <v>827</v>
      </c>
      <c r="JP4" s="2604" t="s">
        <v>828</v>
      </c>
      <c r="JQ4" s="2604" t="s">
        <v>829</v>
      </c>
      <c r="JR4" s="2604" t="s">
        <v>830</v>
      </c>
      <c r="JS4" s="2604" t="s">
        <v>826</v>
      </c>
      <c r="JT4" s="2604" t="s">
        <v>827</v>
      </c>
      <c r="JU4" s="2604" t="s">
        <v>828</v>
      </c>
      <c r="JV4" s="2604" t="s">
        <v>829</v>
      </c>
      <c r="JW4" s="2604" t="s">
        <v>830</v>
      </c>
      <c r="JX4" s="2604" t="s">
        <v>826</v>
      </c>
      <c r="JY4" s="2604" t="s">
        <v>827</v>
      </c>
      <c r="JZ4" s="2604" t="s">
        <v>828</v>
      </c>
      <c r="KA4" s="2604" t="s">
        <v>829</v>
      </c>
      <c r="KB4" s="2604" t="s">
        <v>830</v>
      </c>
      <c r="KC4" s="2604" t="s">
        <v>826</v>
      </c>
      <c r="KD4" s="2604" t="s">
        <v>827</v>
      </c>
      <c r="KE4" s="2604" t="s">
        <v>828</v>
      </c>
      <c r="KF4" s="2604" t="s">
        <v>829</v>
      </c>
      <c r="KG4" s="2604" t="s">
        <v>830</v>
      </c>
      <c r="KH4" s="2604" t="s">
        <v>826</v>
      </c>
      <c r="KI4" s="1447" t="s">
        <v>827</v>
      </c>
      <c r="KJ4" s="1447" t="s">
        <v>828</v>
      </c>
      <c r="KK4" s="1447" t="s">
        <v>829</v>
      </c>
      <c r="KL4" s="1447" t="s">
        <v>830</v>
      </c>
      <c r="KM4" s="1447" t="s">
        <v>826</v>
      </c>
      <c r="KN4" s="1447" t="s">
        <v>827</v>
      </c>
      <c r="KO4" s="1447" t="s">
        <v>828</v>
      </c>
      <c r="KP4" s="1447" t="s">
        <v>829</v>
      </c>
      <c r="KQ4" s="1447" t="s">
        <v>830</v>
      </c>
      <c r="KR4" s="1447" t="s">
        <v>826</v>
      </c>
      <c r="KS4" s="1447" t="s">
        <v>827</v>
      </c>
      <c r="KT4" s="1447" t="s">
        <v>828</v>
      </c>
      <c r="KU4" s="1447" t="s">
        <v>829</v>
      </c>
      <c r="KV4" s="1447" t="s">
        <v>830</v>
      </c>
      <c r="KW4" s="1447" t="s">
        <v>826</v>
      </c>
      <c r="KX4" s="1447" t="s">
        <v>827</v>
      </c>
      <c r="KY4" s="1447" t="s">
        <v>828</v>
      </c>
      <c r="KZ4" s="1447" t="s">
        <v>829</v>
      </c>
      <c r="LA4" s="1447" t="s">
        <v>830</v>
      </c>
      <c r="LB4" s="1447" t="s">
        <v>826</v>
      </c>
      <c r="LC4" s="1447" t="s">
        <v>827</v>
      </c>
      <c r="LD4" s="1447" t="s">
        <v>828</v>
      </c>
      <c r="LE4" s="1447" t="s">
        <v>829</v>
      </c>
      <c r="LF4" s="1447" t="s">
        <v>830</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831</v>
      </c>
      <c r="MG4" s="3088" t="s">
        <v>832</v>
      </c>
      <c r="MH4" s="3088" t="s">
        <v>833</v>
      </c>
      <c r="MI4" s="3088" t="s">
        <v>834</v>
      </c>
      <c r="MJ4" s="3088" t="s">
        <v>835</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836</v>
      </c>
      <c r="R5" s="2536"/>
      <c r="S5" s="232"/>
      <c r="T5" s="232"/>
      <c r="U5" s="232"/>
      <c r="W5" s="233"/>
      <c r="X5" s="3089" t="s">
        <v>837</v>
      </c>
      <c r="Y5" s="3089" t="s">
        <v>838</v>
      </c>
      <c r="Z5" s="3089" t="s">
        <v>839</v>
      </c>
      <c r="AA5" s="3089" t="s">
        <v>840</v>
      </c>
      <c r="AB5" s="3089" t="s">
        <v>841</v>
      </c>
      <c r="AC5" s="3089" t="s">
        <v>842</v>
      </c>
      <c r="AD5" s="3089" t="s">
        <v>843</v>
      </c>
      <c r="AE5" s="3089" t="s">
        <v>844</v>
      </c>
      <c r="AF5" s="3089" t="s">
        <v>845</v>
      </c>
      <c r="AG5" s="3089" t="s">
        <v>846</v>
      </c>
      <c r="AH5" s="3089" t="s">
        <v>847</v>
      </c>
      <c r="AI5" s="3089" t="s">
        <v>848</v>
      </c>
      <c r="AJ5" s="3089" t="s">
        <v>849</v>
      </c>
      <c r="AK5" s="3089" t="s">
        <v>850</v>
      </c>
      <c r="AL5" s="3089" t="s">
        <v>851</v>
      </c>
      <c r="AM5" s="3089" t="s">
        <v>852</v>
      </c>
      <c r="AN5" s="3089" t="s">
        <v>853</v>
      </c>
      <c r="AO5" s="3089" t="s">
        <v>854</v>
      </c>
      <c r="AP5" s="3089" t="s">
        <v>855</v>
      </c>
      <c r="AQ5" s="3089" t="s">
        <v>856</v>
      </c>
      <c r="AR5" s="3089" t="s">
        <v>857</v>
      </c>
      <c r="AS5" s="3089" t="s">
        <v>858</v>
      </c>
      <c r="AT5" s="3089" t="s">
        <v>859</v>
      </c>
      <c r="AU5" s="3089" t="s">
        <v>860</v>
      </c>
      <c r="AV5" s="3089" t="s">
        <v>861</v>
      </c>
      <c r="AW5" s="3089" t="s">
        <v>862</v>
      </c>
      <c r="AX5" s="3089" t="s">
        <v>863</v>
      </c>
      <c r="AY5" s="3089" t="s">
        <v>864</v>
      </c>
      <c r="AZ5" s="3089" t="s">
        <v>865</v>
      </c>
      <c r="BA5" s="3089" t="s">
        <v>866</v>
      </c>
      <c r="BB5" s="3089" t="s">
        <v>867</v>
      </c>
      <c r="BC5" s="3089" t="s">
        <v>868</v>
      </c>
      <c r="BD5" s="3089" t="s">
        <v>869</v>
      </c>
      <c r="BE5" s="3089" t="s">
        <v>870</v>
      </c>
      <c r="BF5" s="3089" t="s">
        <v>871</v>
      </c>
      <c r="BG5" s="3089" t="s">
        <v>872</v>
      </c>
      <c r="BH5" s="3089" t="s">
        <v>873</v>
      </c>
      <c r="BI5" s="3089" t="s">
        <v>874</v>
      </c>
      <c r="BJ5" s="3089" t="s">
        <v>875</v>
      </c>
      <c r="BK5" s="3089" t="s">
        <v>876</v>
      </c>
      <c r="BL5" s="3089" t="s">
        <v>877</v>
      </c>
      <c r="BM5" s="3089" t="s">
        <v>878</v>
      </c>
      <c r="BN5" s="3089" t="s">
        <v>879</v>
      </c>
      <c r="BO5" s="3089" t="s">
        <v>880</v>
      </c>
      <c r="BP5" s="3089" t="s">
        <v>881</v>
      </c>
      <c r="BQ5" s="3089" t="s">
        <v>882</v>
      </c>
      <c r="BR5" s="3089" t="s">
        <v>883</v>
      </c>
      <c r="BS5" s="3089" t="s">
        <v>884</v>
      </c>
      <c r="BT5" s="3089" t="s">
        <v>885</v>
      </c>
      <c r="BU5" s="3089" t="s">
        <v>886</v>
      </c>
      <c r="BV5" s="3089" t="s">
        <v>887</v>
      </c>
      <c r="BW5" s="3089" t="s">
        <v>888</v>
      </c>
      <c r="BX5" s="3089" t="s">
        <v>889</v>
      </c>
      <c r="BY5" s="3089" t="s">
        <v>890</v>
      </c>
      <c r="BZ5" s="3089" t="s">
        <v>891</v>
      </c>
      <c r="CA5" s="3089" t="s">
        <v>892</v>
      </c>
      <c r="CB5" s="3089" t="s">
        <v>893</v>
      </c>
      <c r="CC5" s="3089" t="s">
        <v>894</v>
      </c>
      <c r="CD5" s="3089" t="s">
        <v>895</v>
      </c>
      <c r="CE5" s="3089" t="s">
        <v>896</v>
      </c>
      <c r="CF5" s="3089" t="s">
        <v>897</v>
      </c>
      <c r="CG5" s="3089" t="s">
        <v>898</v>
      </c>
      <c r="CH5" s="3089" t="s">
        <v>899</v>
      </c>
      <c r="CI5" s="3089" t="s">
        <v>900</v>
      </c>
      <c r="CJ5" s="3089" t="s">
        <v>901</v>
      </c>
      <c r="CK5" s="3089" t="s">
        <v>902</v>
      </c>
      <c r="CL5" s="3089" t="s">
        <v>903</v>
      </c>
      <c r="CM5" s="3089" t="s">
        <v>904</v>
      </c>
      <c r="CN5" s="3089" t="s">
        <v>905</v>
      </c>
      <c r="CO5" s="3089" t="s">
        <v>906</v>
      </c>
      <c r="CP5" s="3089" t="s">
        <v>907</v>
      </c>
      <c r="CQ5" s="3089" t="s">
        <v>908</v>
      </c>
      <c r="CR5" s="3089" t="s">
        <v>909</v>
      </c>
      <c r="CS5" s="3089" t="s">
        <v>910</v>
      </c>
      <c r="CT5" s="3089" t="s">
        <v>911</v>
      </c>
      <c r="CU5" s="3089" t="s">
        <v>912</v>
      </c>
      <c r="CV5" s="3089" t="s">
        <v>913</v>
      </c>
      <c r="CW5" s="3089" t="s">
        <v>914</v>
      </c>
      <c r="CX5" s="3089" t="s">
        <v>915</v>
      </c>
      <c r="CY5" s="3089" t="s">
        <v>916</v>
      </c>
      <c r="CZ5" s="3089" t="s">
        <v>917</v>
      </c>
      <c r="DA5" s="3089" t="s">
        <v>918</v>
      </c>
      <c r="DB5" s="3089" t="s">
        <v>919</v>
      </c>
      <c r="DC5" s="3089" t="s">
        <v>920</v>
      </c>
      <c r="DD5" s="3089" t="s">
        <v>921</v>
      </c>
      <c r="DE5" s="3089" t="s">
        <v>922</v>
      </c>
      <c r="DF5" s="3089" t="s">
        <v>923</v>
      </c>
      <c r="DG5" s="3089" t="s">
        <v>924</v>
      </c>
      <c r="DH5" s="3089" t="s">
        <v>925</v>
      </c>
      <c r="DI5" s="3089" t="s">
        <v>926</v>
      </c>
      <c r="DJ5" s="3089" t="s">
        <v>927</v>
      </c>
      <c r="DK5" s="3089" t="s">
        <v>928</v>
      </c>
      <c r="DL5" s="3089" t="s">
        <v>929</v>
      </c>
      <c r="DM5" s="3089" t="s">
        <v>930</v>
      </c>
      <c r="DN5" s="3089" t="s">
        <v>931</v>
      </c>
      <c r="DO5" s="3089" t="s">
        <v>932</v>
      </c>
      <c r="DP5" s="3089" t="s">
        <v>933</v>
      </c>
      <c r="DQ5" s="3089" t="s">
        <v>934</v>
      </c>
      <c r="DR5" s="3089" t="s">
        <v>935</v>
      </c>
      <c r="DS5" s="3089" t="s">
        <v>936</v>
      </c>
      <c r="DT5" s="3089" t="s">
        <v>937</v>
      </c>
      <c r="DU5" s="3089" t="s">
        <v>938</v>
      </c>
      <c r="DV5" s="3089" t="s">
        <v>939</v>
      </c>
      <c r="DW5" s="3089" t="s">
        <v>940</v>
      </c>
      <c r="DX5" s="3089" t="s">
        <v>941</v>
      </c>
      <c r="DY5" s="3089" t="s">
        <v>942</v>
      </c>
      <c r="DZ5" s="3089" t="s">
        <v>943</v>
      </c>
      <c r="EA5" s="3089" t="s">
        <v>944</v>
      </c>
      <c r="EB5" s="3089" t="s">
        <v>945</v>
      </c>
      <c r="EC5" s="3089" t="s">
        <v>946</v>
      </c>
      <c r="ED5" s="3089" t="s">
        <v>947</v>
      </c>
      <c r="EE5" s="3089" t="s">
        <v>948</v>
      </c>
      <c r="EF5" s="3089" t="s">
        <v>949</v>
      </c>
      <c r="EG5" s="3089" t="s">
        <v>950</v>
      </c>
      <c r="EH5" s="3089" t="s">
        <v>951</v>
      </c>
      <c r="EI5" s="3089" t="s">
        <v>952</v>
      </c>
      <c r="EJ5" s="3089" t="s">
        <v>953</v>
      </c>
      <c r="EK5" s="3089" t="s">
        <v>954</v>
      </c>
      <c r="EL5" s="3089" t="s">
        <v>955</v>
      </c>
      <c r="EM5" s="3089" t="s">
        <v>956</v>
      </c>
      <c r="EN5" s="3089" t="s">
        <v>957</v>
      </c>
      <c r="EO5" s="3089" t="s">
        <v>958</v>
      </c>
      <c r="EP5" s="3089" t="s">
        <v>959</v>
      </c>
      <c r="EQ5" s="3089" t="s">
        <v>960</v>
      </c>
      <c r="ER5" s="3089" t="s">
        <v>961</v>
      </c>
      <c r="ES5" s="3089" t="s">
        <v>962</v>
      </c>
      <c r="ET5" s="3089" t="s">
        <v>963</v>
      </c>
      <c r="EU5" s="3089" t="s">
        <v>964</v>
      </c>
      <c r="EV5" s="3089" t="s">
        <v>965</v>
      </c>
      <c r="EW5" s="3089" t="s">
        <v>966</v>
      </c>
      <c r="EX5" s="3089" t="s">
        <v>967</v>
      </c>
      <c r="EY5" s="3089" t="s">
        <v>968</v>
      </c>
      <c r="EZ5" s="3089" t="s">
        <v>969</v>
      </c>
      <c r="FA5" s="3089" t="s">
        <v>970</v>
      </c>
      <c r="FB5" s="3089" t="s">
        <v>971</v>
      </c>
      <c r="FC5" s="3089" t="s">
        <v>972</v>
      </c>
      <c r="FD5" s="3089" t="s">
        <v>973</v>
      </c>
      <c r="FE5" s="3089" t="s">
        <v>974</v>
      </c>
      <c r="FF5" s="3089" t="s">
        <v>975</v>
      </c>
      <c r="FG5" s="3089" t="s">
        <v>976</v>
      </c>
      <c r="FH5" s="3089" t="s">
        <v>977</v>
      </c>
      <c r="FI5" s="3089" t="s">
        <v>978</v>
      </c>
      <c r="FJ5" s="3089" t="s">
        <v>979</v>
      </c>
      <c r="FK5" s="3089" t="s">
        <v>980</v>
      </c>
      <c r="FL5" s="3089" t="s">
        <v>981</v>
      </c>
      <c r="FM5" s="3089" t="s">
        <v>982</v>
      </c>
      <c r="FN5" s="3089" t="s">
        <v>983</v>
      </c>
      <c r="FO5" s="3089" t="s">
        <v>984</v>
      </c>
      <c r="FP5" s="3089" t="s">
        <v>985</v>
      </c>
      <c r="FQ5" s="3089" t="s">
        <v>986</v>
      </c>
      <c r="FR5" s="3089" t="s">
        <v>987</v>
      </c>
      <c r="FS5" s="3089" t="s">
        <v>988</v>
      </c>
      <c r="FT5" s="3089" t="s">
        <v>989</v>
      </c>
      <c r="FU5" s="3089" t="s">
        <v>990</v>
      </c>
      <c r="FV5" s="3089" t="s">
        <v>991</v>
      </c>
      <c r="FW5" s="3089" t="s">
        <v>992</v>
      </c>
      <c r="FX5" s="3089" t="s">
        <v>993</v>
      </c>
      <c r="FY5" s="3089" t="s">
        <v>994</v>
      </c>
      <c r="FZ5" s="3089" t="s">
        <v>995</v>
      </c>
      <c r="GA5" s="3089" t="s">
        <v>996</v>
      </c>
      <c r="GB5" s="3089" t="s">
        <v>997</v>
      </c>
      <c r="GC5" s="3089" t="s">
        <v>998</v>
      </c>
      <c r="GD5" s="3089" t="s">
        <v>999</v>
      </c>
      <c r="GE5" s="3089" t="s">
        <v>1000</v>
      </c>
      <c r="GF5" s="3089" t="s">
        <v>1001</v>
      </c>
      <c r="GG5" s="3089" t="s">
        <v>1002</v>
      </c>
      <c r="GH5" s="3089" t="s">
        <v>1003</v>
      </c>
      <c r="GI5" s="3089" t="s">
        <v>1004</v>
      </c>
      <c r="GJ5" s="3089" t="s">
        <v>1005</v>
      </c>
      <c r="GK5" s="3089" t="s">
        <v>1006</v>
      </c>
      <c r="GL5" s="3089" t="s">
        <v>1007</v>
      </c>
      <c r="GM5" s="3089" t="s">
        <v>1008</v>
      </c>
      <c r="GN5" s="3089" t="s">
        <v>1009</v>
      </c>
      <c r="GO5" s="3089" t="s">
        <v>1010</v>
      </c>
      <c r="GP5" s="3089" t="s">
        <v>1011</v>
      </c>
      <c r="GQ5" s="3089" t="s">
        <v>1012</v>
      </c>
      <c r="GR5" s="3089" t="s">
        <v>1013</v>
      </c>
      <c r="GS5" s="3089" t="s">
        <v>1014</v>
      </c>
      <c r="GT5" s="3089" t="s">
        <v>1015</v>
      </c>
      <c r="GU5" s="3089" t="s">
        <v>1016</v>
      </c>
      <c r="GV5" s="3089" t="s">
        <v>1017</v>
      </c>
      <c r="GW5" s="3089" t="s">
        <v>1018</v>
      </c>
      <c r="GX5" s="3089" t="s">
        <v>1019</v>
      </c>
      <c r="GY5" s="3089" t="s">
        <v>1020</v>
      </c>
      <c r="GZ5" s="3089" t="s">
        <v>1021</v>
      </c>
      <c r="HA5" s="3089" t="s">
        <v>1022</v>
      </c>
      <c r="HB5" s="3089" t="s">
        <v>1023</v>
      </c>
      <c r="HC5" s="3089" t="s">
        <v>1024</v>
      </c>
      <c r="HD5" s="3089" t="s">
        <v>1025</v>
      </c>
      <c r="HE5" s="3089" t="s">
        <v>1026</v>
      </c>
      <c r="HF5" s="3089" t="s">
        <v>1027</v>
      </c>
      <c r="HG5" s="3089" t="s">
        <v>1028</v>
      </c>
      <c r="HH5" s="3089" t="s">
        <v>1029</v>
      </c>
      <c r="HI5" s="3089" t="s">
        <v>1030</v>
      </c>
      <c r="HJ5" s="3089" t="s">
        <v>1031</v>
      </c>
      <c r="HK5" s="3089" t="s">
        <v>1032</v>
      </c>
      <c r="HL5" s="3089" t="s">
        <v>1033</v>
      </c>
      <c r="HM5" s="3089" t="s">
        <v>1034</v>
      </c>
      <c r="HN5" s="3089" t="s">
        <v>1035</v>
      </c>
      <c r="HO5" s="3089" t="s">
        <v>1036</v>
      </c>
      <c r="HP5" s="3089" t="s">
        <v>1037</v>
      </c>
      <c r="HQ5" s="3089" t="s">
        <v>1038</v>
      </c>
      <c r="HR5" s="3089" t="s">
        <v>1039</v>
      </c>
      <c r="HS5" s="3089" t="s">
        <v>1040</v>
      </c>
      <c r="HT5" s="3089" t="s">
        <v>1041</v>
      </c>
      <c r="HU5" s="3089" t="s">
        <v>1042</v>
      </c>
      <c r="HV5" s="3089" t="s">
        <v>1043</v>
      </c>
      <c r="HW5" s="3089" t="s">
        <v>1044</v>
      </c>
      <c r="HX5" s="3089" t="s">
        <v>1045</v>
      </c>
      <c r="HY5" s="3089" t="s">
        <v>1046</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1047</v>
      </c>
      <c r="LH5" s="3088" t="s">
        <v>1048</v>
      </c>
      <c r="LI5" s="3088" t="s">
        <v>1049</v>
      </c>
      <c r="LJ5" s="3088" t="s">
        <v>1050</v>
      </c>
      <c r="LK5" s="3088" t="s">
        <v>1051</v>
      </c>
      <c r="LL5" s="3088" t="s">
        <v>1052</v>
      </c>
      <c r="LM5" s="3088" t="s">
        <v>1053</v>
      </c>
      <c r="LN5" s="3088" t="s">
        <v>1054</v>
      </c>
      <c r="LO5" s="3088" t="s">
        <v>1055</v>
      </c>
      <c r="LP5" s="3088" t="s">
        <v>1056</v>
      </c>
      <c r="LQ5" s="3088" t="s">
        <v>1057</v>
      </c>
      <c r="LR5" s="3088" t="s">
        <v>1058</v>
      </c>
      <c r="LS5" s="3088" t="s">
        <v>1059</v>
      </c>
      <c r="LT5" s="3088" t="s">
        <v>1060</v>
      </c>
      <c r="LU5" s="3088" t="s">
        <v>1061</v>
      </c>
      <c r="LV5" s="3088" t="s">
        <v>1062</v>
      </c>
      <c r="LW5" s="3088" t="s">
        <v>1063</v>
      </c>
      <c r="LX5" s="3088" t="s">
        <v>1064</v>
      </c>
      <c r="LY5" s="3088" t="s">
        <v>1065</v>
      </c>
      <c r="LZ5" s="3088" t="s">
        <v>1066</v>
      </c>
      <c r="MA5" s="3088" t="s">
        <v>1067</v>
      </c>
      <c r="MB5" s="3088" t="s">
        <v>1068</v>
      </c>
      <c r="MC5" s="3088" t="s">
        <v>1069</v>
      </c>
      <c r="MD5" s="3088" t="s">
        <v>1070</v>
      </c>
      <c r="ME5" s="3088" t="s">
        <v>1071</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75" customHeight="1" thickBot="1">
      <c r="A6" s="3100" t="str">
        <f>IF(A49&gt;0,"Finish Row!","")</f>
        <v>Finish Row!</v>
      </c>
      <c r="B6" s="92" t="s">
        <v>1072</v>
      </c>
      <c r="D6" s="1120"/>
      <c r="E6" s="1120"/>
      <c r="F6" s="1120"/>
      <c r="G6" s="890" t="s">
        <v>803</v>
      </c>
      <c r="H6" s="3101" t="s">
        <v>1073</v>
      </c>
      <c r="I6" s="3102"/>
      <c r="J6" s="3102"/>
      <c r="K6" s="518" t="s">
        <v>816</v>
      </c>
      <c r="L6" s="3103" t="str">
        <f>'Part I-Project Identification'!$A$6</f>
        <v>2024 May 7</v>
      </c>
      <c r="M6" s="3103"/>
      <c r="N6" s="3103"/>
      <c r="O6" s="1292" t="s">
        <v>1074</v>
      </c>
      <c r="P6" s="1110">
        <v>77400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1075</v>
      </c>
      <c r="ML6" s="3122" t="s">
        <v>1076</v>
      </c>
      <c r="MM6" s="3122" t="s">
        <v>1077</v>
      </c>
      <c r="MN6" s="3122" t="s">
        <v>1078</v>
      </c>
      <c r="MO6" s="3122" t="s">
        <v>1079</v>
      </c>
      <c r="MP6" s="3088" t="s">
        <v>1080</v>
      </c>
      <c r="MQ6" s="3088" t="s">
        <v>1081</v>
      </c>
      <c r="MR6" s="3088" t="s">
        <v>1082</v>
      </c>
      <c r="MS6" s="3088" t="s">
        <v>1083</v>
      </c>
      <c r="MT6" s="3088" t="s">
        <v>1084</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75" customHeight="1">
      <c r="A7" s="3100"/>
      <c r="B7" s="2509" t="s">
        <v>1085</v>
      </c>
      <c r="E7" s="3"/>
      <c r="G7" s="4450" t="s">
        <v>57</v>
      </c>
      <c r="I7" s="3090" t="s">
        <v>1086</v>
      </c>
      <c r="J7" s="518" t="s">
        <v>780</v>
      </c>
      <c r="K7" s="518" t="s">
        <v>1087</v>
      </c>
      <c r="L7" s="3103"/>
      <c r="M7" s="3103"/>
      <c r="N7" s="3103"/>
      <c r="O7" s="1293" t="s">
        <v>1088</v>
      </c>
      <c r="P7" s="1138">
        <v>45383</v>
      </c>
      <c r="Q7" s="3104"/>
      <c r="R7" s="3092" t="s">
        <v>1089</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75" customHeight="1">
      <c r="A8" s="3100"/>
      <c r="B8" s="2537" t="s">
        <v>1090</v>
      </c>
      <c r="C8" s="43"/>
      <c r="E8" s="43"/>
      <c r="F8" s="43"/>
      <c r="I8" s="3090"/>
      <c r="J8" s="518" t="s">
        <v>1091</v>
      </c>
      <c r="K8" s="518" t="s">
        <v>1092</v>
      </c>
      <c r="L8" s="507"/>
      <c r="M8" s="507"/>
      <c r="N8" s="1291" t="s">
        <v>1093</v>
      </c>
      <c r="O8" s="3093" t="s">
        <v>1094</v>
      </c>
      <c r="P8" s="3094"/>
      <c r="Q8" s="3104"/>
      <c r="R8" s="508"/>
      <c r="S8" s="510" t="s">
        <v>1095</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784</v>
      </c>
      <c r="IZ8" s="2604" t="s">
        <v>827</v>
      </c>
      <c r="JA8" s="2604" t="s">
        <v>828</v>
      </c>
      <c r="JB8" s="2604" t="s">
        <v>829</v>
      </c>
      <c r="JC8" s="2604" t="s">
        <v>830</v>
      </c>
      <c r="JD8" s="2604" t="s">
        <v>784</v>
      </c>
      <c r="JE8" s="2604" t="s">
        <v>827</v>
      </c>
      <c r="JF8" s="2604" t="s">
        <v>828</v>
      </c>
      <c r="JG8" s="2604" t="s">
        <v>829</v>
      </c>
      <c r="JH8" s="2604" t="s">
        <v>830</v>
      </c>
      <c r="JI8" s="2604" t="s">
        <v>784</v>
      </c>
      <c r="JJ8" s="2604" t="s">
        <v>827</v>
      </c>
      <c r="JK8" s="2604" t="s">
        <v>828</v>
      </c>
      <c r="JL8" s="2604" t="s">
        <v>829</v>
      </c>
      <c r="JM8" s="2604" t="s">
        <v>830</v>
      </c>
      <c r="JN8" s="2604" t="s">
        <v>784</v>
      </c>
      <c r="JO8" s="2604" t="s">
        <v>827</v>
      </c>
      <c r="JP8" s="2604" t="s">
        <v>828</v>
      </c>
      <c r="JQ8" s="2604" t="s">
        <v>829</v>
      </c>
      <c r="JR8" s="2604" t="s">
        <v>830</v>
      </c>
      <c r="JS8" s="2604" t="s">
        <v>784</v>
      </c>
      <c r="JT8" s="2604" t="s">
        <v>827</v>
      </c>
      <c r="JU8" s="2604" t="s">
        <v>828</v>
      </c>
      <c r="JV8" s="2604" t="s">
        <v>829</v>
      </c>
      <c r="JW8" s="2604" t="s">
        <v>830</v>
      </c>
      <c r="JX8" s="2604" t="s">
        <v>784</v>
      </c>
      <c r="JY8" s="2604" t="s">
        <v>827</v>
      </c>
      <c r="JZ8" s="2604" t="s">
        <v>828</v>
      </c>
      <c r="KA8" s="2604" t="s">
        <v>829</v>
      </c>
      <c r="KB8" s="2604" t="s">
        <v>830</v>
      </c>
      <c r="KC8" s="2604" t="s">
        <v>784</v>
      </c>
      <c r="KD8" s="2604" t="s">
        <v>827</v>
      </c>
      <c r="KE8" s="2604" t="s">
        <v>828</v>
      </c>
      <c r="KF8" s="2604" t="s">
        <v>829</v>
      </c>
      <c r="KG8" s="2604" t="s">
        <v>830</v>
      </c>
      <c r="KH8" s="2604" t="s">
        <v>784</v>
      </c>
      <c r="KI8" s="1447" t="s">
        <v>827</v>
      </c>
      <c r="KJ8" s="1447" t="s">
        <v>828</v>
      </c>
      <c r="KK8" s="1447" t="s">
        <v>829</v>
      </c>
      <c r="KL8" s="1447" t="s">
        <v>830</v>
      </c>
      <c r="KM8" s="1447" t="s">
        <v>784</v>
      </c>
      <c r="KN8" s="1447" t="s">
        <v>827</v>
      </c>
      <c r="KO8" s="1447" t="s">
        <v>828</v>
      </c>
      <c r="KP8" s="1447" t="s">
        <v>829</v>
      </c>
      <c r="KQ8" s="1447" t="s">
        <v>830</v>
      </c>
      <c r="KR8" s="1447" t="s">
        <v>784</v>
      </c>
      <c r="KS8" s="1447" t="s">
        <v>827</v>
      </c>
      <c r="KT8" s="1447" t="s">
        <v>828</v>
      </c>
      <c r="KU8" s="1447" t="s">
        <v>829</v>
      </c>
      <c r="KV8" s="1447" t="s">
        <v>830</v>
      </c>
      <c r="KW8" s="1447" t="s">
        <v>784</v>
      </c>
      <c r="KX8" s="1447" t="s">
        <v>827</v>
      </c>
      <c r="KY8" s="1447" t="s">
        <v>828</v>
      </c>
      <c r="KZ8" s="1447" t="s">
        <v>829</v>
      </c>
      <c r="LA8" s="1447" t="s">
        <v>830</v>
      </c>
      <c r="LB8" s="1447" t="s">
        <v>784</v>
      </c>
      <c r="LC8" s="1447" t="s">
        <v>827</v>
      </c>
      <c r="LD8" s="1447" t="s">
        <v>828</v>
      </c>
      <c r="LE8" s="1447" t="s">
        <v>829</v>
      </c>
      <c r="LF8" s="1447" t="s">
        <v>830</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1096</v>
      </c>
      <c r="C9" s="518" t="s">
        <v>1097</v>
      </c>
      <c r="D9" s="518" t="s">
        <v>1098</v>
      </c>
      <c r="E9" s="518" t="s">
        <v>1099</v>
      </c>
      <c r="F9" s="518" t="s">
        <v>1099</v>
      </c>
      <c r="G9" s="3090" t="s">
        <v>1100</v>
      </c>
      <c r="H9" s="2536" t="s">
        <v>1101</v>
      </c>
      <c r="I9" s="3090"/>
      <c r="J9" s="3095" t="s">
        <v>1102</v>
      </c>
      <c r="K9" s="518" t="s">
        <v>1103</v>
      </c>
      <c r="L9" s="3097" t="s">
        <v>1104</v>
      </c>
      <c r="M9" s="3098"/>
      <c r="N9" s="518" t="s">
        <v>1105</v>
      </c>
      <c r="O9" s="518" t="s">
        <v>1106</v>
      </c>
      <c r="P9" s="4451" t="s">
        <v>1107</v>
      </c>
      <c r="Q9" s="3104"/>
      <c r="R9" s="518" t="s">
        <v>1108</v>
      </c>
      <c r="S9" s="518" t="s">
        <v>1109</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1110</v>
      </c>
      <c r="IA9" s="2604" t="s">
        <v>827</v>
      </c>
      <c r="IB9" s="2604" t="s">
        <v>828</v>
      </c>
      <c r="IC9" s="2604" t="s">
        <v>829</v>
      </c>
      <c r="ID9" s="2604" t="s">
        <v>830</v>
      </c>
      <c r="IE9" s="3089" t="s">
        <v>1111</v>
      </c>
      <c r="IF9" s="3089" t="s">
        <v>1111</v>
      </c>
      <c r="IG9" s="3089" t="s">
        <v>1111</v>
      </c>
      <c r="IH9" s="3089" t="s">
        <v>1111</v>
      </c>
      <c r="II9" s="3089" t="s">
        <v>1111</v>
      </c>
      <c r="IJ9" s="3089" t="s">
        <v>1112</v>
      </c>
      <c r="IK9" s="3089" t="s">
        <v>1112</v>
      </c>
      <c r="IL9" s="3089" t="s">
        <v>1112</v>
      </c>
      <c r="IM9" s="3089" t="s">
        <v>1112</v>
      </c>
      <c r="IN9" s="3089" t="s">
        <v>1112</v>
      </c>
      <c r="IO9" s="2604" t="s">
        <v>784</v>
      </c>
      <c r="IP9" s="2604" t="s">
        <v>827</v>
      </c>
      <c r="IQ9" s="2604" t="s">
        <v>828</v>
      </c>
      <c r="IR9" s="2604" t="s">
        <v>829</v>
      </c>
      <c r="IS9" s="2604" t="s">
        <v>830</v>
      </c>
      <c r="IT9" s="2604" t="s">
        <v>784</v>
      </c>
      <c r="IU9" s="2604" t="s">
        <v>827</v>
      </c>
      <c r="IV9" s="2604" t="s">
        <v>828</v>
      </c>
      <c r="IW9" s="2604" t="s">
        <v>829</v>
      </c>
      <c r="IX9" s="2604" t="s">
        <v>830</v>
      </c>
      <c r="IY9" s="3089" t="s">
        <v>1113</v>
      </c>
      <c r="IZ9" s="3089" t="s">
        <v>1113</v>
      </c>
      <c r="JA9" s="3089" t="s">
        <v>1113</v>
      </c>
      <c r="JB9" s="3089" t="s">
        <v>1113</v>
      </c>
      <c r="JC9" s="3089" t="s">
        <v>1113</v>
      </c>
      <c r="JD9" s="3089" t="s">
        <v>1114</v>
      </c>
      <c r="JE9" s="3089" t="s">
        <v>1114</v>
      </c>
      <c r="JF9" s="3089" t="s">
        <v>1114</v>
      </c>
      <c r="JG9" s="3089" t="s">
        <v>1114</v>
      </c>
      <c r="JH9" s="3089" t="s">
        <v>1114</v>
      </c>
      <c r="JI9" s="3089" t="s">
        <v>1115</v>
      </c>
      <c r="JJ9" s="3089" t="s">
        <v>1115</v>
      </c>
      <c r="JK9" s="3089" t="s">
        <v>1115</v>
      </c>
      <c r="JL9" s="3089" t="s">
        <v>1115</v>
      </c>
      <c r="JM9" s="3089" t="s">
        <v>1115</v>
      </c>
      <c r="JN9" s="3089" t="s">
        <v>1116</v>
      </c>
      <c r="JO9" s="3089" t="s">
        <v>1116</v>
      </c>
      <c r="JP9" s="3089" t="s">
        <v>1116</v>
      </c>
      <c r="JQ9" s="3089" t="s">
        <v>1116</v>
      </c>
      <c r="JR9" s="3089" t="s">
        <v>1116</v>
      </c>
      <c r="JS9" s="3089" t="s">
        <v>1117</v>
      </c>
      <c r="JT9" s="3089" t="s">
        <v>1117</v>
      </c>
      <c r="JU9" s="3089" t="s">
        <v>1117</v>
      </c>
      <c r="JV9" s="3089" t="s">
        <v>1117</v>
      </c>
      <c r="JW9" s="3089" t="s">
        <v>1117</v>
      </c>
      <c r="JX9" s="3089" t="s">
        <v>1118</v>
      </c>
      <c r="JY9" s="3089" t="s">
        <v>1118</v>
      </c>
      <c r="JZ9" s="3089" t="s">
        <v>1118</v>
      </c>
      <c r="KA9" s="3089" t="s">
        <v>1118</v>
      </c>
      <c r="KB9" s="3089" t="s">
        <v>1118</v>
      </c>
      <c r="KC9" s="3089" t="s">
        <v>1119</v>
      </c>
      <c r="KD9" s="3089" t="s">
        <v>1119</v>
      </c>
      <c r="KE9" s="3089" t="s">
        <v>1119</v>
      </c>
      <c r="KF9" s="3089" t="s">
        <v>1119</v>
      </c>
      <c r="KG9" s="3089" t="s">
        <v>1119</v>
      </c>
      <c r="KH9" s="3089" t="s">
        <v>1120</v>
      </c>
      <c r="KI9" s="3088" t="s">
        <v>1121</v>
      </c>
      <c r="KJ9" s="3088" t="s">
        <v>1121</v>
      </c>
      <c r="KK9" s="3088" t="s">
        <v>1121</v>
      </c>
      <c r="KL9" s="3088" t="s">
        <v>1121</v>
      </c>
      <c r="KM9" s="3088" t="s">
        <v>1122</v>
      </c>
      <c r="KN9" s="3088" t="s">
        <v>1122</v>
      </c>
      <c r="KO9" s="3088" t="s">
        <v>1122</v>
      </c>
      <c r="KP9" s="3088" t="s">
        <v>1122</v>
      </c>
      <c r="KQ9" s="3088" t="s">
        <v>1122</v>
      </c>
      <c r="KR9" s="3088" t="s">
        <v>1123</v>
      </c>
      <c r="KS9" s="3088" t="s">
        <v>1123</v>
      </c>
      <c r="KT9" s="3088" t="s">
        <v>1123</v>
      </c>
      <c r="KU9" s="3088" t="s">
        <v>1123</v>
      </c>
      <c r="KV9" s="3088" t="s">
        <v>1123</v>
      </c>
      <c r="KW9" s="3088" t="s">
        <v>1124</v>
      </c>
      <c r="KX9" s="3088" t="s">
        <v>1124</v>
      </c>
      <c r="KY9" s="3088" t="s">
        <v>1124</v>
      </c>
      <c r="KZ9" s="3088" t="s">
        <v>1124</v>
      </c>
      <c r="LA9" s="3088" t="s">
        <v>1124</v>
      </c>
      <c r="LB9" s="3088" t="s">
        <v>1125</v>
      </c>
      <c r="LC9" s="3088" t="s">
        <v>1125</v>
      </c>
      <c r="LD9" s="3088" t="s">
        <v>1125</v>
      </c>
      <c r="LE9" s="3088" t="s">
        <v>1125</v>
      </c>
      <c r="LF9" s="3088" t="s">
        <v>1125</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1126</v>
      </c>
      <c r="C10" s="518" t="s">
        <v>808</v>
      </c>
      <c r="D10" s="518" t="s">
        <v>809</v>
      </c>
      <c r="E10" s="518" t="s">
        <v>1127</v>
      </c>
      <c r="F10" s="518" t="s">
        <v>1128</v>
      </c>
      <c r="G10" s="3091"/>
      <c r="H10" s="518" t="s">
        <v>1129</v>
      </c>
      <c r="I10" s="3091"/>
      <c r="J10" s="3096"/>
      <c r="K10" s="252" t="s">
        <v>1130</v>
      </c>
      <c r="L10" s="518" t="s">
        <v>1131</v>
      </c>
      <c r="M10" s="518" t="s">
        <v>301</v>
      </c>
      <c r="N10" s="518" t="s">
        <v>1099</v>
      </c>
      <c r="O10" s="518" t="s">
        <v>1132</v>
      </c>
      <c r="P10" s="3099"/>
      <c r="Q10" s="3105"/>
      <c r="R10" s="518" t="s">
        <v>1133</v>
      </c>
      <c r="S10" s="518" t="s">
        <v>1134</v>
      </c>
      <c r="T10" s="6" t="s">
        <v>806</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1135</v>
      </c>
      <c r="IB10" s="2604" t="s">
        <v>1135</v>
      </c>
      <c r="IC10" s="2604" t="s">
        <v>1135</v>
      </c>
      <c r="ID10" s="2604" t="s">
        <v>1135</v>
      </c>
      <c r="IE10" s="3089"/>
      <c r="IF10" s="3089"/>
      <c r="IG10" s="3089"/>
      <c r="IH10" s="3089"/>
      <c r="II10" s="3089"/>
      <c r="IJ10" s="3089"/>
      <c r="IK10" s="3089"/>
      <c r="IL10" s="3089"/>
      <c r="IM10" s="3089"/>
      <c r="IN10" s="3089"/>
      <c r="IO10" s="2604" t="s">
        <v>1136</v>
      </c>
      <c r="IP10" s="2604" t="s">
        <v>1136</v>
      </c>
      <c r="IQ10" s="2604" t="s">
        <v>1136</v>
      </c>
      <c r="IR10" s="2604" t="s">
        <v>1136</v>
      </c>
      <c r="IS10" s="2604" t="s">
        <v>1136</v>
      </c>
      <c r="IT10" s="2604" t="s">
        <v>1137</v>
      </c>
      <c r="IU10" s="2604" t="s">
        <v>1137</v>
      </c>
      <c r="IV10" s="2604" t="s">
        <v>1137</v>
      </c>
      <c r="IW10" s="2604" t="s">
        <v>1137</v>
      </c>
      <c r="IX10" s="2604" t="s">
        <v>1137</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4.1" customHeight="1">
      <c r="A11" s="53" t="str">
        <f t="shared" ref="A11:A48" si="0">IF(AND(E11&gt;0,OR(B11="",C11="",D11="",F11="",G11="", H11="",I11="",N11="",O11="",P11="",Q11="")),1,"")</f>
        <v/>
      </c>
      <c r="B11" s="4452" t="s">
        <v>1138</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1139</v>
      </c>
      <c r="NQ11" s="2082">
        <v>11</v>
      </c>
    </row>
    <row r="12" spans="1:493" ht="14.1" customHeight="1">
      <c r="A12" s="53" t="str">
        <f t="shared" si="0"/>
        <v/>
      </c>
      <c r="B12" s="788" t="s">
        <v>1138</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1140</v>
      </c>
      <c r="NQ12" s="2084">
        <v>12</v>
      </c>
    </row>
    <row r="13" spans="1:493" ht="14.1" customHeight="1">
      <c r="A13" s="53">
        <f t="shared" si="0"/>
        <v>1</v>
      </c>
      <c r="B13" s="788" t="s">
        <v>1141</v>
      </c>
      <c r="C13" s="85">
        <v>1</v>
      </c>
      <c r="D13" s="1322">
        <v>1</v>
      </c>
      <c r="E13" s="86">
        <v>2</v>
      </c>
      <c r="F13" s="86">
        <v>713</v>
      </c>
      <c r="G13" s="86"/>
      <c r="H13" s="86">
        <v>800</v>
      </c>
      <c r="I13" s="86">
        <v>0</v>
      </c>
      <c r="J13" s="1060">
        <v>0</v>
      </c>
      <c r="K13" s="487"/>
      <c r="L13" s="340">
        <f t="shared" si="1"/>
        <v>800</v>
      </c>
      <c r="M13" s="340">
        <f t="shared" si="2"/>
        <v>1600</v>
      </c>
      <c r="N13" s="524" t="s">
        <v>57</v>
      </c>
      <c r="O13" s="1258" t="s">
        <v>777</v>
      </c>
      <c r="P13" s="524" t="s">
        <v>1142</v>
      </c>
      <c r="Q13" s="87" t="s">
        <v>57</v>
      </c>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2</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1426</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2</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f t="shared" si="214"/>
        <v>2</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f t="shared" si="259"/>
        <v>2</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2</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1143</v>
      </c>
      <c r="NQ13" s="2084">
        <v>13</v>
      </c>
    </row>
    <row r="14" spans="1:493" ht="14.1" customHeight="1">
      <c r="A14" s="53">
        <f t="shared" si="0"/>
        <v>1</v>
      </c>
      <c r="B14" s="788" t="s">
        <v>1141</v>
      </c>
      <c r="C14" s="85">
        <v>2</v>
      </c>
      <c r="D14" s="1322">
        <v>2</v>
      </c>
      <c r="E14" s="86">
        <v>2</v>
      </c>
      <c r="F14" s="86">
        <v>984</v>
      </c>
      <c r="G14" s="86"/>
      <c r="H14" s="86">
        <v>900</v>
      </c>
      <c r="I14" s="86">
        <v>0</v>
      </c>
      <c r="J14" s="1060">
        <v>0</v>
      </c>
      <c r="K14" s="487"/>
      <c r="L14" s="340">
        <f t="shared" si="1"/>
        <v>900</v>
      </c>
      <c r="M14" s="340">
        <f t="shared" si="2"/>
        <v>1800</v>
      </c>
      <c r="N14" s="524" t="s">
        <v>57</v>
      </c>
      <c r="O14" s="1258" t="s">
        <v>777</v>
      </c>
      <c r="P14" s="524" t="s">
        <v>1142</v>
      </c>
      <c r="Q14" s="87" t="s">
        <v>57</v>
      </c>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2</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1968</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2</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f t="shared" si="215"/>
        <v>2</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f t="shared" si="260"/>
        <v>2</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2</v>
      </c>
      <c r="MN14" s="1320">
        <f t="shared" si="336"/>
        <v>0</v>
      </c>
      <c r="MO14" s="1320">
        <f t="shared" si="337"/>
        <v>0</v>
      </c>
      <c r="MP14" s="1320">
        <f t="shared" si="328"/>
        <v>0</v>
      </c>
      <c r="MQ14" s="1320">
        <f t="shared" si="329"/>
        <v>0</v>
      </c>
      <c r="MR14" s="1320">
        <f t="shared" si="330"/>
        <v>0</v>
      </c>
      <c r="MS14" s="1320">
        <f t="shared" si="331"/>
        <v>0</v>
      </c>
      <c r="MT14" s="1320">
        <f t="shared" si="332"/>
        <v>0</v>
      </c>
      <c r="NP14" s="1294" t="s">
        <v>1144</v>
      </c>
      <c r="NQ14" s="2082">
        <v>14</v>
      </c>
    </row>
    <row r="15" spans="1:493" ht="14.1" customHeight="1">
      <c r="A15" s="53">
        <f t="shared" si="0"/>
        <v>1</v>
      </c>
      <c r="B15" s="788" t="s">
        <v>1141</v>
      </c>
      <c r="C15" s="85">
        <v>3</v>
      </c>
      <c r="D15" s="1322">
        <v>2</v>
      </c>
      <c r="E15" s="86">
        <v>2</v>
      </c>
      <c r="F15" s="86">
        <v>1126</v>
      </c>
      <c r="G15" s="86"/>
      <c r="H15" s="86">
        <v>1100</v>
      </c>
      <c r="I15" s="86">
        <v>0</v>
      </c>
      <c r="J15" s="1060">
        <v>0</v>
      </c>
      <c r="K15" s="487"/>
      <c r="L15" s="340">
        <f t="shared" si="1"/>
        <v>1100</v>
      </c>
      <c r="M15" s="340">
        <f t="shared" si="2"/>
        <v>2200</v>
      </c>
      <c r="N15" s="524" t="s">
        <v>57</v>
      </c>
      <c r="O15" s="1258" t="s">
        <v>777</v>
      </c>
      <c r="P15" s="524" t="s">
        <v>1142</v>
      </c>
      <c r="Q15" s="87" t="s">
        <v>57</v>
      </c>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f t="shared" si="41"/>
        <v>2</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f t="shared" si="156"/>
        <v>2252</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f t="shared" si="176"/>
        <v>2</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f t="shared" si="216"/>
        <v>2</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f t="shared" si="261"/>
        <v>2</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2</v>
      </c>
      <c r="MO15" s="1320">
        <f t="shared" si="337"/>
        <v>0</v>
      </c>
      <c r="MP15" s="1320">
        <f t="shared" si="328"/>
        <v>0</v>
      </c>
      <c r="MQ15" s="1320">
        <f t="shared" si="329"/>
        <v>0</v>
      </c>
      <c r="MR15" s="1320">
        <f t="shared" si="330"/>
        <v>0</v>
      </c>
      <c r="MS15" s="1320">
        <f t="shared" si="331"/>
        <v>0</v>
      </c>
      <c r="MT15" s="1320">
        <f t="shared" si="332"/>
        <v>0</v>
      </c>
      <c r="NP15" s="1294" t="s">
        <v>1145</v>
      </c>
      <c r="NQ15" s="2084">
        <v>15</v>
      </c>
    </row>
    <row r="16" spans="1:493" ht="14.1" customHeight="1">
      <c r="A16" s="53" t="str">
        <f t="shared" si="0"/>
        <v/>
      </c>
      <c r="B16" s="788" t="s">
        <v>1141</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1146</v>
      </c>
      <c r="NQ16" s="2084">
        <v>16</v>
      </c>
    </row>
    <row r="17" spans="1:381" ht="14.1" customHeight="1" thickBot="1">
      <c r="A17" s="53" t="str">
        <f t="shared" si="0"/>
        <v/>
      </c>
      <c r="B17" s="789" t="s">
        <v>1141</v>
      </c>
      <c r="C17" s="792"/>
      <c r="D17" s="1323"/>
      <c r="E17" s="793"/>
      <c r="F17" s="793"/>
      <c r="G17" s="793"/>
      <c r="H17" s="793"/>
      <c r="I17" s="793"/>
      <c r="J17" s="1061"/>
      <c r="K17" s="808"/>
      <c r="L17" s="809">
        <f t="shared" si="1"/>
        <v>0</v>
      </c>
      <c r="M17" s="809">
        <f t="shared" si="2"/>
        <v>0</v>
      </c>
      <c r="N17" s="810"/>
      <c r="O17" s="1259"/>
      <c r="P17" s="810"/>
      <c r="Q17" s="811"/>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1147</v>
      </c>
      <c r="NQ17" s="2084">
        <v>17</v>
      </c>
    </row>
    <row r="18" spans="1:381" ht="14.1" customHeight="1">
      <c r="A18" s="53" t="str">
        <f t="shared" si="0"/>
        <v/>
      </c>
      <c r="B18" s="819"/>
      <c r="C18" s="790"/>
      <c r="D18" s="1324"/>
      <c r="E18" s="791"/>
      <c r="F18" s="791"/>
      <c r="G18" s="791"/>
      <c r="H18" s="791"/>
      <c r="I18" s="791"/>
      <c r="J18" s="803">
        <f>IF(C18="",0,HLOOKUP(C18,'Part IV-Utility Allowances'!$I$11:$M$22,12))</f>
        <v>0</v>
      </c>
      <c r="K18" s="804"/>
      <c r="L18" s="805">
        <f t="shared" si="1"/>
        <v>0</v>
      </c>
      <c r="M18" s="805">
        <f t="shared" si="2"/>
        <v>0</v>
      </c>
      <c r="N18" s="806"/>
      <c r="O18" s="1260"/>
      <c r="P18" s="806"/>
      <c r="Q18" s="807"/>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t="str">
        <f t="shared" si="214"/>
        <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0</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1148</v>
      </c>
      <c r="NQ18" s="2084">
        <v>18</v>
      </c>
    </row>
    <row r="19" spans="1:381" ht="14.1" customHeight="1">
      <c r="A19" s="53" t="str">
        <f t="shared" si="0"/>
        <v/>
      </c>
      <c r="B19" s="820">
        <v>50</v>
      </c>
      <c r="C19" s="85">
        <v>1</v>
      </c>
      <c r="D19" s="1322">
        <v>1</v>
      </c>
      <c r="E19" s="86">
        <v>3</v>
      </c>
      <c r="F19" s="86">
        <v>713</v>
      </c>
      <c r="G19" s="86">
        <v>726</v>
      </c>
      <c r="H19" s="86">
        <v>725</v>
      </c>
      <c r="I19" s="86">
        <v>0</v>
      </c>
      <c r="J19" s="571">
        <f>IF(C19="",0,HLOOKUP(C19,'Part IV-Utility Allowances'!$I$11:$M$22,12))</f>
        <v>141</v>
      </c>
      <c r="K19" s="487"/>
      <c r="L19" s="340">
        <f t="shared" si="1"/>
        <v>584</v>
      </c>
      <c r="M19" s="340">
        <f t="shared" si="2"/>
        <v>1752</v>
      </c>
      <c r="N19" s="524" t="s">
        <v>57</v>
      </c>
      <c r="O19" s="1258" t="s">
        <v>777</v>
      </c>
      <c r="P19" s="524" t="s">
        <v>1142</v>
      </c>
      <c r="Q19" s="87" t="s">
        <v>57</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f t="shared" si="19"/>
        <v>3</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f t="shared" si="134"/>
        <v>2139</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3</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f t="shared" si="214"/>
        <v>3</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f t="shared" si="259"/>
        <v>3</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3</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1149</v>
      </c>
      <c r="NQ19" s="2084">
        <v>19</v>
      </c>
    </row>
    <row r="20" spans="1:381" ht="14.1" customHeight="1">
      <c r="A20" s="53" t="str">
        <f t="shared" si="0"/>
        <v/>
      </c>
      <c r="B20" s="820">
        <v>60</v>
      </c>
      <c r="C20" s="85">
        <v>1</v>
      </c>
      <c r="D20" s="1322">
        <v>1</v>
      </c>
      <c r="E20" s="86">
        <v>18</v>
      </c>
      <c r="F20" s="86">
        <v>713</v>
      </c>
      <c r="G20" s="86">
        <v>871</v>
      </c>
      <c r="H20" s="86">
        <v>870</v>
      </c>
      <c r="I20" s="86">
        <v>0</v>
      </c>
      <c r="J20" s="571">
        <f>IF(C20="",0,HLOOKUP(C20,'Part IV-Utility Allowances'!$I$11:$M$22,12))</f>
        <v>141</v>
      </c>
      <c r="K20" s="487"/>
      <c r="L20" s="340">
        <f t="shared" si="1"/>
        <v>729</v>
      </c>
      <c r="M20" s="340">
        <f t="shared" si="2"/>
        <v>13122</v>
      </c>
      <c r="N20" s="524" t="s">
        <v>57</v>
      </c>
      <c r="O20" s="1258" t="s">
        <v>777</v>
      </c>
      <c r="P20" s="524" t="s">
        <v>1142</v>
      </c>
      <c r="Q20" s="87" t="s">
        <v>57</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18</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12834</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18</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18</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f t="shared" si="259"/>
        <v>18</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18</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1150</v>
      </c>
      <c r="NQ20" s="2085">
        <v>20</v>
      </c>
    </row>
    <row r="21" spans="1:381" ht="14.1" customHeight="1">
      <c r="A21" s="53" t="str">
        <f t="shared" si="0"/>
        <v/>
      </c>
      <c r="B21" s="820"/>
      <c r="C21" s="85"/>
      <c r="D21" s="1322"/>
      <c r="E21" s="86"/>
      <c r="F21" s="86"/>
      <c r="G21" s="86"/>
      <c r="H21" s="86"/>
      <c r="I21" s="86"/>
      <c r="J21" s="571">
        <f>IF(C21="",0,HLOOKUP(C21,'Part IV-Utility Allowances'!$I$11:$M$22,12))</f>
        <v>0</v>
      </c>
      <c r="K21" s="487"/>
      <c r="L21" s="340">
        <f t="shared" si="1"/>
        <v>0</v>
      </c>
      <c r="M21" s="340">
        <f t="shared" si="2"/>
        <v>0</v>
      </c>
      <c r="N21" s="524"/>
      <c r="O21" s="1258"/>
      <c r="P21" s="524"/>
      <c r="Q21" s="87"/>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1151</v>
      </c>
      <c r="NQ21" s="2084">
        <v>21</v>
      </c>
    </row>
    <row r="22" spans="1:381" ht="14.1" customHeight="1">
      <c r="A22" s="53" t="str">
        <f t="shared" si="0"/>
        <v/>
      </c>
      <c r="B22" s="820">
        <v>50</v>
      </c>
      <c r="C22" s="85">
        <v>2</v>
      </c>
      <c r="D22" s="1322">
        <v>2</v>
      </c>
      <c r="E22" s="86">
        <v>7</v>
      </c>
      <c r="F22" s="86">
        <v>984</v>
      </c>
      <c r="G22" s="86">
        <v>871</v>
      </c>
      <c r="H22" s="86">
        <v>871</v>
      </c>
      <c r="I22" s="86">
        <v>0</v>
      </c>
      <c r="J22" s="571">
        <f>IF(C22="",0,HLOOKUP(C22,'Part IV-Utility Allowances'!$I$11:$M$22,12))</f>
        <v>171</v>
      </c>
      <c r="K22" s="487"/>
      <c r="L22" s="340">
        <f t="shared" si="1"/>
        <v>700</v>
      </c>
      <c r="M22" s="340">
        <f t="shared" si="2"/>
        <v>4900</v>
      </c>
      <c r="N22" s="524" t="s">
        <v>57</v>
      </c>
      <c r="O22" s="1258" t="s">
        <v>777</v>
      </c>
      <c r="P22" s="524" t="s">
        <v>1142</v>
      </c>
      <c r="Q22" s="87" t="s">
        <v>57</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f t="shared" si="20"/>
        <v>7</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f t="shared" si="135"/>
        <v>6888</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7</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7</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f t="shared" si="260"/>
        <v>7</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7</v>
      </c>
      <c r="MN22" s="1320">
        <f t="shared" si="336"/>
        <v>0</v>
      </c>
      <c r="MO22" s="1320">
        <f t="shared" si="337"/>
        <v>0</v>
      </c>
      <c r="MP22" s="1320">
        <f t="shared" si="328"/>
        <v>0</v>
      </c>
      <c r="MQ22" s="1320">
        <f t="shared" si="329"/>
        <v>0</v>
      </c>
      <c r="MR22" s="1320">
        <f t="shared" si="330"/>
        <v>0</v>
      </c>
      <c r="MS22" s="1320">
        <f t="shared" si="331"/>
        <v>0</v>
      </c>
      <c r="MT22" s="1320">
        <f t="shared" si="332"/>
        <v>0</v>
      </c>
      <c r="NP22" s="1294" t="s">
        <v>1152</v>
      </c>
      <c r="NQ22" s="2082">
        <v>22</v>
      </c>
    </row>
    <row r="23" spans="1:381" ht="14.1" customHeight="1">
      <c r="A23" s="53" t="str">
        <f t="shared" si="0"/>
        <v/>
      </c>
      <c r="B23" s="820">
        <v>60</v>
      </c>
      <c r="C23" s="85">
        <v>2</v>
      </c>
      <c r="D23" s="1322">
        <v>2</v>
      </c>
      <c r="E23" s="86">
        <v>22</v>
      </c>
      <c r="F23" s="86">
        <v>984</v>
      </c>
      <c r="G23" s="86">
        <v>1045</v>
      </c>
      <c r="H23" s="86">
        <v>1045</v>
      </c>
      <c r="I23" s="86">
        <v>0</v>
      </c>
      <c r="J23" s="571">
        <f>IF(C23="",0,HLOOKUP(C23,'Part IV-Utility Allowances'!$I$11:$M$22,12))</f>
        <v>171</v>
      </c>
      <c r="K23" s="487"/>
      <c r="L23" s="340">
        <f t="shared" si="1"/>
        <v>874</v>
      </c>
      <c r="M23" s="340">
        <f t="shared" si="2"/>
        <v>19228</v>
      </c>
      <c r="N23" s="524" t="s">
        <v>57</v>
      </c>
      <c r="O23" s="1258" t="s">
        <v>777</v>
      </c>
      <c r="P23" s="524" t="s">
        <v>1142</v>
      </c>
      <c r="Q23" s="87" t="s">
        <v>57</v>
      </c>
      <c r="R23" s="560"/>
      <c r="S23" s="561"/>
      <c r="T23" s="3068"/>
      <c r="U23" s="3069"/>
      <c r="V23" s="3069"/>
      <c r="W23" s="3070"/>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f t="shared" si="15"/>
        <v>22</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f t="shared" si="130"/>
        <v>21648</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22</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f t="shared" si="215"/>
        <v>22</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f t="shared" si="260"/>
        <v>22</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22</v>
      </c>
      <c r="MN23" s="1320">
        <f t="shared" si="336"/>
        <v>0</v>
      </c>
      <c r="MO23" s="1320">
        <f t="shared" si="337"/>
        <v>0</v>
      </c>
      <c r="MP23" s="1320">
        <f t="shared" si="328"/>
        <v>0</v>
      </c>
      <c r="MQ23" s="1320">
        <f t="shared" si="329"/>
        <v>0</v>
      </c>
      <c r="MR23" s="1320">
        <f t="shared" si="330"/>
        <v>0</v>
      </c>
      <c r="MS23" s="1320">
        <f t="shared" si="331"/>
        <v>0</v>
      </c>
      <c r="MT23" s="1320">
        <f t="shared" si="332"/>
        <v>0</v>
      </c>
      <c r="NP23" s="1294" t="s">
        <v>1153</v>
      </c>
      <c r="NQ23" s="2084">
        <v>23</v>
      </c>
    </row>
    <row r="24" spans="1:381" ht="14.1"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1154</v>
      </c>
      <c r="NQ24" s="2084">
        <v>24</v>
      </c>
    </row>
    <row r="25" spans="1:381" ht="14.1" customHeight="1">
      <c r="A25" s="53" t="str">
        <f t="shared" si="0"/>
        <v/>
      </c>
      <c r="B25" s="820">
        <v>50</v>
      </c>
      <c r="C25" s="85">
        <v>3</v>
      </c>
      <c r="D25" s="1322">
        <v>2</v>
      </c>
      <c r="E25" s="86">
        <v>2</v>
      </c>
      <c r="F25" s="86">
        <v>1126</v>
      </c>
      <c r="G25" s="86">
        <v>1006</v>
      </c>
      <c r="H25" s="86">
        <v>1006</v>
      </c>
      <c r="I25" s="86">
        <v>0</v>
      </c>
      <c r="J25" s="571">
        <f>IF(C25="",0,HLOOKUP(C25,'Part IV-Utility Allowances'!$I$11:$M$22,12))</f>
        <v>207</v>
      </c>
      <c r="K25" s="487"/>
      <c r="L25" s="340">
        <f t="shared" si="1"/>
        <v>799</v>
      </c>
      <c r="M25" s="340">
        <f t="shared" si="2"/>
        <v>1598</v>
      </c>
      <c r="N25" s="524" t="s">
        <v>57</v>
      </c>
      <c r="O25" s="1258" t="s">
        <v>777</v>
      </c>
      <c r="P25" s="524" t="s">
        <v>1142</v>
      </c>
      <c r="Q25" s="87" t="s">
        <v>57</v>
      </c>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f t="shared" si="21"/>
        <v>2</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f t="shared" si="136"/>
        <v>2252</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f t="shared" si="171"/>
        <v>2</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f t="shared" si="216"/>
        <v>2</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f t="shared" si="261"/>
        <v>2</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2</v>
      </c>
      <c r="MO25" s="1320">
        <f t="shared" si="337"/>
        <v>0</v>
      </c>
      <c r="MP25" s="1320">
        <f t="shared" si="328"/>
        <v>0</v>
      </c>
      <c r="MQ25" s="1320">
        <f t="shared" si="329"/>
        <v>0</v>
      </c>
      <c r="MR25" s="1320">
        <f t="shared" si="330"/>
        <v>0</v>
      </c>
      <c r="MS25" s="1320">
        <f t="shared" si="331"/>
        <v>0</v>
      </c>
      <c r="MT25" s="1320">
        <f t="shared" si="332"/>
        <v>0</v>
      </c>
      <c r="NP25" s="1294" t="s">
        <v>1155</v>
      </c>
      <c r="NQ25" s="2082">
        <v>25</v>
      </c>
    </row>
    <row r="26" spans="1:381" ht="14.1" customHeight="1">
      <c r="A26" s="53" t="str">
        <f t="shared" si="0"/>
        <v/>
      </c>
      <c r="B26" s="820">
        <v>60</v>
      </c>
      <c r="C26" s="85">
        <v>3</v>
      </c>
      <c r="D26" s="1322">
        <v>2</v>
      </c>
      <c r="E26" s="86">
        <v>2</v>
      </c>
      <c r="F26" s="86">
        <v>1126</v>
      </c>
      <c r="G26" s="86">
        <v>1207</v>
      </c>
      <c r="H26" s="86">
        <v>1207</v>
      </c>
      <c r="I26" s="86">
        <v>0</v>
      </c>
      <c r="J26" s="571">
        <f>IF(C26="",0,HLOOKUP(C26,'Part IV-Utility Allowances'!$I$11:$M$22,12))</f>
        <v>207</v>
      </c>
      <c r="K26" s="487"/>
      <c r="L26" s="340">
        <f t="shared" si="1"/>
        <v>1000</v>
      </c>
      <c r="M26" s="340">
        <f t="shared" si="2"/>
        <v>2000</v>
      </c>
      <c r="N26" s="524" t="s">
        <v>57</v>
      </c>
      <c r="O26" s="1258" t="s">
        <v>777</v>
      </c>
      <c r="P26" s="524" t="s">
        <v>1142</v>
      </c>
      <c r="Q26" s="87" t="s">
        <v>57</v>
      </c>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f t="shared" si="16"/>
        <v>2</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f t="shared" si="131"/>
        <v>2252</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2</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f t="shared" si="216"/>
        <v>2</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f t="shared" si="261"/>
        <v>2</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2</v>
      </c>
      <c r="MO26" s="1320">
        <f t="shared" si="337"/>
        <v>0</v>
      </c>
      <c r="MP26" s="1320">
        <f t="shared" si="328"/>
        <v>0</v>
      </c>
      <c r="MQ26" s="1320">
        <f t="shared" si="329"/>
        <v>0</v>
      </c>
      <c r="MR26" s="1320">
        <f t="shared" si="330"/>
        <v>0</v>
      </c>
      <c r="MS26" s="1320">
        <f t="shared" si="331"/>
        <v>0</v>
      </c>
      <c r="MT26" s="1320">
        <f t="shared" si="332"/>
        <v>0</v>
      </c>
      <c r="NP26" s="1294" t="s">
        <v>1156</v>
      </c>
      <c r="NQ26" s="2084">
        <v>26</v>
      </c>
    </row>
    <row r="27" spans="1:381" ht="14.1"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1157</v>
      </c>
      <c r="NQ27" s="2084">
        <v>27</v>
      </c>
    </row>
    <row r="28" spans="1:381" ht="14.1"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1158</v>
      </c>
      <c r="NQ28" s="2084">
        <v>28</v>
      </c>
    </row>
    <row r="29" spans="1:381" ht="14.1"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1159</v>
      </c>
      <c r="NQ29" s="2084">
        <v>29</v>
      </c>
    </row>
    <row r="30" spans="1:381" ht="14.1"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1160</v>
      </c>
      <c r="NQ30" s="2084">
        <v>30</v>
      </c>
    </row>
    <row r="31" spans="1:381" ht="14.1"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1161</v>
      </c>
      <c r="NQ31" s="2085">
        <v>31</v>
      </c>
    </row>
    <row r="32" spans="1:381" ht="14.1"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1162</v>
      </c>
      <c r="NQ32" s="2084">
        <v>32</v>
      </c>
    </row>
    <row r="33" spans="1:381" ht="14.1"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1163</v>
      </c>
      <c r="NQ33" s="2082">
        <v>33</v>
      </c>
    </row>
    <row r="34" spans="1:381" ht="14.1"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1164</v>
      </c>
      <c r="NQ34" s="2084">
        <v>34</v>
      </c>
    </row>
    <row r="35" spans="1:381" ht="14.1"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1165</v>
      </c>
      <c r="NQ35" s="2084">
        <v>35</v>
      </c>
    </row>
    <row r="36" spans="1:381" ht="14.1"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1166</v>
      </c>
      <c r="NQ36" s="2082">
        <v>36</v>
      </c>
    </row>
    <row r="37" spans="1:381" ht="14.1"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1167</v>
      </c>
      <c r="NQ37" s="2084">
        <v>37</v>
      </c>
    </row>
    <row r="38" spans="1:381" ht="14.1"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1168</v>
      </c>
      <c r="NQ38" s="2084">
        <v>38</v>
      </c>
    </row>
    <row r="39" spans="1:381" ht="14.1"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1169</v>
      </c>
      <c r="NQ39" s="2084">
        <v>39</v>
      </c>
    </row>
    <row r="40" spans="1:381" ht="14.1"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1170</v>
      </c>
      <c r="NQ40" s="2084">
        <v>40</v>
      </c>
    </row>
    <row r="41" spans="1:381" ht="14.1"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1171</v>
      </c>
      <c r="NQ41" s="2084">
        <v>41</v>
      </c>
    </row>
    <row r="42" spans="1:381" ht="14.1"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1172</v>
      </c>
      <c r="NQ42" s="2085">
        <v>42</v>
      </c>
    </row>
    <row r="43" spans="1:381" ht="14.1"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1173</v>
      </c>
      <c r="NQ43" s="2084">
        <v>43</v>
      </c>
    </row>
    <row r="44" spans="1:381" ht="14.1"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1174</v>
      </c>
      <c r="NQ44" s="2082">
        <v>44</v>
      </c>
    </row>
    <row r="45" spans="1:381" ht="14.1"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1175</v>
      </c>
      <c r="NQ45" s="2084">
        <v>45</v>
      </c>
    </row>
    <row r="46" spans="1:381" ht="14.1"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1176</v>
      </c>
      <c r="NQ46" s="2084">
        <v>46</v>
      </c>
    </row>
    <row r="47" spans="1:381" ht="14.1"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1177</v>
      </c>
      <c r="NQ47" s="2082">
        <v>47</v>
      </c>
    </row>
    <row r="48" spans="1:381" ht="14.1"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1178</v>
      </c>
      <c r="NQ48" s="2084">
        <v>48</v>
      </c>
    </row>
    <row r="49" spans="1:381" s="77" customFormat="1" ht="14.1" customHeight="1">
      <c r="A49" s="2595">
        <f>COUNT(A11,A12,A13,A14,A15,A16,A17,A18,A19,A20,A21,A22,A23,A24,A25,A26,A27,A28,A29,A30,A31,A32,A33,A34,A35,A36,A37,A38,A39,A40)</f>
        <v>3</v>
      </c>
      <c r="B49" s="3117" t="s">
        <v>1179</v>
      </c>
      <c r="C49" s="4462"/>
      <c r="D49" s="72" t="s">
        <v>1180</v>
      </c>
      <c r="E49" s="816">
        <f>SUM(E11:E48)</f>
        <v>60</v>
      </c>
      <c r="F49" s="814">
        <f>(E11*F11+E12*F12+E13*F13+E14*F14+E15*F15+E16*F16+E17*F17+E18*F18+E19*F19+E20*F20+E21*F21+E22*F22+E23*F23+E24*F24+E25*F25+E26*F26+E27*F27+E28*F28+E29*F29+E30*F30+E31*F31+E32*F32+E33*F33+E34*F34+E35*F35+E36*F36+E37*F37+E38*F38+E39*F39+E40*F40+E41*F41+E42*F42+E43*F43+E44*F44+E45*F45+E46*F46+E47*F47+E48*F48)</f>
        <v>53659</v>
      </c>
      <c r="H49" s="4463" t="s">
        <v>1181</v>
      </c>
      <c r="I49" s="4464" t="s">
        <v>1182</v>
      </c>
      <c r="J49" s="4465" t="str">
        <f>IF(P67=0,"",IF(SUM(P58:P62)/P67&gt;=0.4,"Pass","Fail"))</f>
        <v>Pass</v>
      </c>
      <c r="K49" s="328"/>
      <c r="L49" s="528" t="s">
        <v>1183</v>
      </c>
      <c r="M49" s="4466">
        <f>SUM(M11:M48)</f>
        <v>48200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18</v>
      </c>
      <c r="AJ49" s="1321">
        <f t="shared" si="338"/>
        <v>22</v>
      </c>
      <c r="AK49" s="1321">
        <f t="shared" si="338"/>
        <v>2</v>
      </c>
      <c r="AL49" s="1321">
        <f t="shared" si="338"/>
        <v>0</v>
      </c>
      <c r="AM49" s="1321">
        <f>SUM(AM11:AM48)</f>
        <v>0</v>
      </c>
      <c r="AN49" s="1321">
        <f>SUM(AN11:AN48)</f>
        <v>3</v>
      </c>
      <c r="AO49" s="1321">
        <f>SUM(AO11:AO48)</f>
        <v>7</v>
      </c>
      <c r="AP49" s="1321">
        <f>SUM(AP11:AP48)</f>
        <v>2</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2</v>
      </c>
      <c r="BI49" s="1321">
        <f t="shared" si="338"/>
        <v>2</v>
      </c>
      <c r="BJ49" s="1321">
        <f t="shared" si="338"/>
        <v>2</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12834</v>
      </c>
      <c r="EU49" s="1321">
        <f t="shared" si="338"/>
        <v>21648</v>
      </c>
      <c r="EV49" s="1321">
        <f t="shared" si="338"/>
        <v>2252</v>
      </c>
      <c r="EW49" s="1321">
        <f t="shared" si="338"/>
        <v>0</v>
      </c>
      <c r="EX49" s="1321">
        <f t="shared" si="338"/>
        <v>0</v>
      </c>
      <c r="EY49" s="1321">
        <f t="shared" si="338"/>
        <v>2139</v>
      </c>
      <c r="EZ49" s="1321">
        <f t="shared" si="338"/>
        <v>6888</v>
      </c>
      <c r="FA49" s="1321">
        <f t="shared" si="338"/>
        <v>2252</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1426</v>
      </c>
      <c r="FT49" s="1321">
        <f t="shared" si="340"/>
        <v>1968</v>
      </c>
      <c r="FU49" s="1321">
        <f t="shared" si="340"/>
        <v>2252</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21</v>
      </c>
      <c r="GI49" s="1321">
        <f t="shared" si="340"/>
        <v>29</v>
      </c>
      <c r="GJ49" s="1321">
        <f t="shared" si="340"/>
        <v>4</v>
      </c>
      <c r="GK49" s="1321">
        <f t="shared" si="340"/>
        <v>0</v>
      </c>
      <c r="GL49" s="1321">
        <f t="shared" si="340"/>
        <v>0</v>
      </c>
      <c r="GM49" s="1321">
        <f t="shared" si="340"/>
        <v>2</v>
      </c>
      <c r="GN49" s="1321">
        <f t="shared" si="340"/>
        <v>2</v>
      </c>
      <c r="GO49" s="1321">
        <f t="shared" si="340"/>
        <v>2</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23</v>
      </c>
      <c r="IB49" s="1321">
        <f t="shared" si="341"/>
        <v>31</v>
      </c>
      <c r="IC49" s="1321">
        <f t="shared" si="341"/>
        <v>6</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23</v>
      </c>
      <c r="JU49" s="1321">
        <f t="shared" si="341"/>
        <v>31</v>
      </c>
      <c r="JV49" s="1321">
        <f t="shared" si="341"/>
        <v>6</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23</v>
      </c>
      <c r="MM49" s="1321">
        <f t="shared" si="343"/>
        <v>31</v>
      </c>
      <c r="MN49" s="1321">
        <f t="shared" si="343"/>
        <v>6</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1184</v>
      </c>
      <c r="NQ49" s="2084">
        <v>49</v>
      </c>
    </row>
    <row r="50" spans="1:381" s="77" customFormat="1" ht="14.1" customHeight="1">
      <c r="B50" s="3119">
        <f>IF(SUM(E18:E48)=0,"",(B18*E18+B19*E19+B20*E20+B21*E21+B22*E22+B23*E23+B24*E24+B25*E25+B26*E26+B27*E27+B28*E28+B29*E29+B30*E30+B31*E31+B32*E32+B33*E33+B34*E34+B35*E35+B36*E36+B37*E37+B38*E38+B39*E39+B40*E40+B41*E41+B42*E42+B43*E43+B44*E44+B45*E45+B46*E46+B47*E47+B48*E48)/SUM(E18:E48))</f>
        <v>57.777777777777779</v>
      </c>
      <c r="C50" s="3120"/>
      <c r="D50" s="2538" t="s">
        <v>1185</v>
      </c>
      <c r="E50" s="813">
        <f>SUM(E18:E48)</f>
        <v>54</v>
      </c>
      <c r="F50" s="815">
        <f>(E18*F18+E19*F19+E20*F20+E21*F21+E22*F22+E23*F23+E24*F24+E25*F25+E26*F26+E27*F27+E28*F28+E29*F29+E30*F30+E31*F31+E32*F32+E33*F33+E34*F34+E35*F35+E36*F36+E37*F37+E38*F38+E39*F39+E40*F40+E41*F41+E42*F42+E43*F43+E44*F44+E45*F45+E46*F46+E47*F47+E48*F48)</f>
        <v>48013</v>
      </c>
      <c r="H50" s="3118"/>
      <c r="I50" s="817" t="s">
        <v>1186</v>
      </c>
      <c r="J50" s="818" t="str">
        <f>IF(P67=0,"",IF(SUM(P59:P62)/P67&gt;=0.2,"Pass","Fail"))</f>
        <v>Pass</v>
      </c>
      <c r="K50" s="328"/>
      <c r="L50" s="72" t="s">
        <v>1187</v>
      </c>
      <c r="M50" s="4466">
        <f>M49*12</f>
        <v>578400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1188</v>
      </c>
      <c r="NQ50" s="2084">
        <v>50</v>
      </c>
    </row>
    <row r="51" spans="1:381" ht="6.95" customHeight="1">
      <c r="A51" s="3121" t="s">
        <v>1189</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85" customHeight="1">
      <c r="A53" s="6" t="s">
        <v>25</v>
      </c>
      <c r="B53" s="6" t="s">
        <v>1190</v>
      </c>
      <c r="C53" s="77"/>
      <c r="D53" s="77"/>
      <c r="E53" s="77"/>
      <c r="F53" s="77"/>
      <c r="G53" s="77"/>
      <c r="H53" s="77"/>
      <c r="I53" s="77"/>
      <c r="J53" s="77"/>
      <c r="K53" s="1453" t="s">
        <v>1191</v>
      </c>
      <c r="L53" s="77"/>
      <c r="M53" s="77"/>
      <c r="N53" s="77"/>
      <c r="O53" s="3115" t="s">
        <v>1192</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1193</v>
      </c>
      <c r="L54" s="77"/>
      <c r="M54" s="77"/>
      <c r="N54" s="77"/>
      <c r="O54" s="3081" t="s">
        <v>1194</v>
      </c>
      <c r="P54" s="3082"/>
      <c r="S54" s="60"/>
      <c r="T54" s="60"/>
      <c r="U54" s="262"/>
      <c r="AY54" s="253"/>
      <c r="BD54" s="253"/>
      <c r="LO54" s="255"/>
      <c r="MD54" s="251"/>
      <c r="NQ54" s="2084">
        <v>54</v>
      </c>
    </row>
    <row r="55" spans="1:381" ht="14.85" customHeight="1">
      <c r="A55" s="6"/>
      <c r="B55" s="6" t="s">
        <v>1195</v>
      </c>
      <c r="C55" s="77"/>
      <c r="D55" s="77"/>
      <c r="E55" s="77"/>
      <c r="F55" s="77"/>
      <c r="G55" s="77"/>
      <c r="H55" s="35" t="s">
        <v>1196</v>
      </c>
      <c r="I55" s="35"/>
      <c r="J55" s="35"/>
      <c r="K55" s="2524" t="s">
        <v>784</v>
      </c>
      <c r="L55" s="57" t="s">
        <v>1197</v>
      </c>
      <c r="M55" s="57" t="s">
        <v>1198</v>
      </c>
      <c r="N55" s="57" t="s">
        <v>1199</v>
      </c>
      <c r="O55" s="57" t="s">
        <v>1200</v>
      </c>
      <c r="P55" s="57" t="s">
        <v>301</v>
      </c>
      <c r="S55" s="6" t="s">
        <v>806</v>
      </c>
      <c r="T55" s="6"/>
      <c r="U55" s="262"/>
      <c r="AR55" s="1459"/>
      <c r="AS55" s="1459"/>
      <c r="AT55" s="1459"/>
      <c r="AU55" s="1459"/>
      <c r="AV55" s="1459"/>
      <c r="AW55" s="1459"/>
      <c r="AY55" s="253"/>
      <c r="BB55" s="1459"/>
      <c r="BD55" s="253"/>
      <c r="LO55" s="255"/>
      <c r="MD55" s="251"/>
      <c r="NQ55" s="2082">
        <v>55</v>
      </c>
    </row>
    <row r="56" spans="1:381" ht="15" customHeight="1">
      <c r="A56" s="3083" t="s">
        <v>1201</v>
      </c>
      <c r="B56" s="3083"/>
      <c r="C56" s="43" t="s">
        <v>1202</v>
      </c>
      <c r="D56" s="43"/>
      <c r="E56" s="43"/>
      <c r="F56" s="43"/>
      <c r="G56" s="35"/>
      <c r="H56" s="48" t="s">
        <v>1203</v>
      </c>
      <c r="I56" s="13"/>
      <c r="J56" s="35"/>
      <c r="K56" s="837">
        <f>X49</f>
        <v>0</v>
      </c>
      <c r="L56" s="838">
        <f>Y49</f>
        <v>0</v>
      </c>
      <c r="M56" s="838">
        <f>Z49</f>
        <v>0</v>
      </c>
      <c r="N56" s="838">
        <f>AA49</f>
        <v>0</v>
      </c>
      <c r="O56" s="839">
        <f>AB49</f>
        <v>0</v>
      </c>
      <c r="P56" s="566">
        <f t="shared" ref="P56:P67" si="344">SUM(K56:O56)</f>
        <v>0</v>
      </c>
      <c r="Q56" s="3084" t="s">
        <v>1204</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1205</v>
      </c>
      <c r="I57" s="13"/>
      <c r="J57" s="35"/>
      <c r="K57" s="828">
        <f>AC49</f>
        <v>0</v>
      </c>
      <c r="L57" s="829">
        <f>AD49</f>
        <v>0</v>
      </c>
      <c r="M57" s="829">
        <f>AE49</f>
        <v>0</v>
      </c>
      <c r="N57" s="829">
        <f>AF49</f>
        <v>0</v>
      </c>
      <c r="O57" s="830">
        <f>AG49</f>
        <v>0</v>
      </c>
      <c r="P57" s="797">
        <f t="shared" si="344"/>
        <v>0</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1206</v>
      </c>
      <c r="I58" s="13"/>
      <c r="J58" s="35"/>
      <c r="K58" s="828">
        <f>AH49</f>
        <v>0</v>
      </c>
      <c r="L58" s="829">
        <f>AI49</f>
        <v>18</v>
      </c>
      <c r="M58" s="829">
        <f>AJ49</f>
        <v>22</v>
      </c>
      <c r="N58" s="829">
        <f>AK49</f>
        <v>2</v>
      </c>
      <c r="O58" s="830">
        <f>AL49</f>
        <v>0</v>
      </c>
      <c r="P58" s="797">
        <f t="shared" si="344"/>
        <v>42</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1207</v>
      </c>
      <c r="I59" s="13"/>
      <c r="J59" s="681"/>
      <c r="K59" s="840">
        <f>AM49</f>
        <v>0</v>
      </c>
      <c r="L59" s="841">
        <f>AN49</f>
        <v>3</v>
      </c>
      <c r="M59" s="841">
        <f>AO49</f>
        <v>7</v>
      </c>
      <c r="N59" s="841">
        <f>AP49</f>
        <v>2</v>
      </c>
      <c r="O59" s="842">
        <f>AQ49</f>
        <v>0</v>
      </c>
      <c r="P59" s="342">
        <f t="shared" si="344"/>
        <v>12</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1208</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1209</v>
      </c>
      <c r="I61" s="13"/>
      <c r="J61" s="35"/>
      <c r="K61" s="828">
        <f>AW49</f>
        <v>0</v>
      </c>
      <c r="L61" s="829">
        <f>AX49</f>
        <v>0</v>
      </c>
      <c r="M61" s="829">
        <f>AY49</f>
        <v>0</v>
      </c>
      <c r="N61" s="829">
        <f>AZ49</f>
        <v>0</v>
      </c>
      <c r="O61" s="830">
        <f>BA49</f>
        <v>0</v>
      </c>
      <c r="P61" s="797">
        <f t="shared" si="344"/>
        <v>0</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1210</v>
      </c>
      <c r="I62" s="13"/>
      <c r="J62" s="35"/>
      <c r="K62" s="4467">
        <f>BB49</f>
        <v>0</v>
      </c>
      <c r="L62" s="4468">
        <f>BC49</f>
        <v>0</v>
      </c>
      <c r="M62" s="4468">
        <f>BD49</f>
        <v>0</v>
      </c>
      <c r="N62" s="4468">
        <f>BE49</f>
        <v>0</v>
      </c>
      <c r="O62" s="4469">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1211</v>
      </c>
      <c r="D63" s="43"/>
      <c r="E63" s="43"/>
      <c r="F63" s="43"/>
      <c r="G63" s="35"/>
      <c r="H63" s="40"/>
      <c r="I63" s="25"/>
      <c r="J63" s="35"/>
      <c r="K63" s="4470">
        <f>SUM(K56:K62)</f>
        <v>0</v>
      </c>
      <c r="L63" s="4470">
        <f>SUM(L56:L62)</f>
        <v>21</v>
      </c>
      <c r="M63" s="4470">
        <f>SUM(M56:M62)</f>
        <v>29</v>
      </c>
      <c r="N63" s="4470">
        <f>SUM(N56:N62)</f>
        <v>4</v>
      </c>
      <c r="O63" s="4470">
        <f>SUM(O56:O62)</f>
        <v>0</v>
      </c>
      <c r="P63" s="4470">
        <f t="shared" si="344"/>
        <v>54</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1141</v>
      </c>
      <c r="I64" s="13"/>
      <c r="J64" s="35"/>
      <c r="K64" s="567">
        <f>BG49</f>
        <v>0</v>
      </c>
      <c r="L64" s="567">
        <f>BH49</f>
        <v>2</v>
      </c>
      <c r="M64" s="567">
        <f>BI49</f>
        <v>2</v>
      </c>
      <c r="N64" s="567">
        <f>BJ49</f>
        <v>2</v>
      </c>
      <c r="O64" s="567">
        <f>BK49</f>
        <v>0</v>
      </c>
      <c r="P64" s="567">
        <f t="shared" si="344"/>
        <v>6</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1212</v>
      </c>
      <c r="D65" s="800"/>
      <c r="E65" s="800"/>
      <c r="F65" s="800"/>
      <c r="G65" s="801"/>
      <c r="H65" s="1068"/>
      <c r="I65" s="23"/>
      <c r="J65" s="801"/>
      <c r="K65" s="802">
        <f>SUM(K63:K64)</f>
        <v>0</v>
      </c>
      <c r="L65" s="802">
        <f>SUM(L63:L64)</f>
        <v>23</v>
      </c>
      <c r="M65" s="802">
        <f>SUM(M63:M64)</f>
        <v>31</v>
      </c>
      <c r="N65" s="802">
        <f>SUM(N63:N64)</f>
        <v>6</v>
      </c>
      <c r="O65" s="802">
        <f>SUM(O63:O64)</f>
        <v>0</v>
      </c>
      <c r="P65" s="802">
        <f t="shared" si="344"/>
        <v>60</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1213</v>
      </c>
      <c r="I66" s="13"/>
      <c r="J66" s="35"/>
      <c r="K66" s="567">
        <f>ED49</f>
        <v>0</v>
      </c>
      <c r="L66" s="567">
        <f>EE49</f>
        <v>0</v>
      </c>
      <c r="M66" s="567">
        <f>EF49</f>
        <v>0</v>
      </c>
      <c r="N66" s="567">
        <f>EG49</f>
        <v>0</v>
      </c>
      <c r="O66" s="567">
        <f>EH49</f>
        <v>0</v>
      </c>
      <c r="P66" s="567">
        <f t="shared" si="344"/>
        <v>0</v>
      </c>
      <c r="Q66" s="98" t="s">
        <v>1214</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1215</v>
      </c>
      <c r="D67" s="43"/>
      <c r="E67" s="43"/>
      <c r="F67" s="43"/>
      <c r="G67" s="35"/>
      <c r="H67" s="48"/>
      <c r="I67" s="13"/>
      <c r="J67" s="35"/>
      <c r="K67" s="4471">
        <f>SUM(K65:K66)</f>
        <v>0</v>
      </c>
      <c r="L67" s="4471">
        <f>SUM(L65:L66)</f>
        <v>23</v>
      </c>
      <c r="M67" s="4471">
        <f>SUM(M65:M66)</f>
        <v>31</v>
      </c>
      <c r="N67" s="4471">
        <f>SUM(N65:N66)</f>
        <v>6</v>
      </c>
      <c r="O67" s="4471">
        <f>SUM(O65:O66)</f>
        <v>0</v>
      </c>
      <c r="P67" s="4471">
        <f t="shared" si="344"/>
        <v>60</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350000000000001"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1216</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35" customHeight="1">
      <c r="A70" s="3083"/>
      <c r="B70" s="3083"/>
      <c r="C70" s="3086"/>
      <c r="D70" s="3086"/>
      <c r="E70" s="3086"/>
      <c r="F70" s="3086"/>
      <c r="G70" s="77"/>
      <c r="H70" s="48" t="s">
        <v>1203</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1217</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1218</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1219</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1220</v>
      </c>
      <c r="E73" s="3087"/>
      <c r="F73" s="3087"/>
      <c r="G73" s="77"/>
      <c r="H73" s="48" t="s">
        <v>1205</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1218</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1219</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ht="14.1">
      <c r="C76" s="115" t="s">
        <v>1221</v>
      </c>
      <c r="D76" s="3087"/>
      <c r="E76" s="3087"/>
      <c r="F76" s="3087"/>
      <c r="G76" s="77"/>
      <c r="H76" s="48" t="s">
        <v>1206</v>
      </c>
      <c r="I76" s="13"/>
      <c r="J76" s="43"/>
      <c r="K76" s="1065" t="str">
        <f t="shared" ref="K76:P76" si="349">IF(OR(K58=0,K67=0),"",K58/K67)</f>
        <v/>
      </c>
      <c r="L76" s="1066">
        <f t="shared" si="349"/>
        <v>0.78260869565217395</v>
      </c>
      <c r="M76" s="1066">
        <f t="shared" si="349"/>
        <v>0.70967741935483875</v>
      </c>
      <c r="N76" s="1066">
        <f t="shared" si="349"/>
        <v>0.33333333333333331</v>
      </c>
      <c r="O76" s="1066" t="str">
        <f t="shared" si="349"/>
        <v/>
      </c>
      <c r="P76" s="1067">
        <f t="shared" si="349"/>
        <v>0.7</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1218</v>
      </c>
      <c r="I77" s="13"/>
      <c r="J77" s="43"/>
      <c r="K77" s="1114" t="str">
        <f>IF(OR(K58=0,P76="",K67=0),"",P76*K67)</f>
        <v/>
      </c>
      <c r="L77" s="1114">
        <f>IF(OR(L58=0,P76="",L67=0),"",P76*L67)</f>
        <v>16.099999999999998</v>
      </c>
      <c r="M77" s="1114">
        <f>IF(OR(M58=0,P76="",M67=0),"",P76*M67)</f>
        <v>21.7</v>
      </c>
      <c r="N77" s="1114">
        <f>IF(OR(N58=0,P76="",N67=0),"",P76*N67)</f>
        <v>4.1999999999999993</v>
      </c>
      <c r="O77" s="1114" t="str">
        <f>IF(OR(O58=0,P76="",O67=0),"",P76*O67)</f>
        <v/>
      </c>
      <c r="P77" s="1115">
        <f>IF(OR(P76="",P67=0),"",P76*P67)</f>
        <v>42</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1219</v>
      </c>
      <c r="I78" s="1042"/>
      <c r="J78" s="43"/>
      <c r="K78" s="1116" t="str">
        <f t="shared" ref="K78:P78" si="350">IF(OR(K77="",K58=0),"", K58-K77)</f>
        <v/>
      </c>
      <c r="L78" s="1116">
        <f t="shared" si="350"/>
        <v>1.9000000000000021</v>
      </c>
      <c r="M78" s="1116">
        <f t="shared" si="350"/>
        <v>0.30000000000000071</v>
      </c>
      <c r="N78" s="1116">
        <f t="shared" si="350"/>
        <v>-2.1999999999999993</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ht="14.1">
      <c r="C79" s="115" t="s">
        <v>1221</v>
      </c>
      <c r="D79" s="1040"/>
      <c r="E79" s="1040"/>
      <c r="F79" s="77"/>
      <c r="G79" s="77"/>
      <c r="H79" s="48" t="s">
        <v>1207</v>
      </c>
      <c r="I79" s="13"/>
      <c r="J79" s="43"/>
      <c r="K79" s="1065" t="str">
        <f t="shared" ref="K79:P79" si="351">IF(OR(K59=0,K67=0),"",K59/K67)</f>
        <v/>
      </c>
      <c r="L79" s="1066">
        <f t="shared" si="351"/>
        <v>0.13043478260869565</v>
      </c>
      <c r="M79" s="1066">
        <f t="shared" si="351"/>
        <v>0.22580645161290322</v>
      </c>
      <c r="N79" s="1066">
        <f t="shared" si="351"/>
        <v>0.33333333333333331</v>
      </c>
      <c r="O79" s="1066" t="str">
        <f t="shared" si="351"/>
        <v/>
      </c>
      <c r="P79" s="1067">
        <f t="shared" si="351"/>
        <v>0.2</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1218</v>
      </c>
      <c r="I80" s="13"/>
      <c r="J80" s="43"/>
      <c r="K80" s="1114" t="str">
        <f>IF(OR(K59=0,P79="",K67=0),"",P79*K67)</f>
        <v/>
      </c>
      <c r="L80" s="1114">
        <f>IF(OR(L59=0,P79="",L67=0),"",P79*L67)</f>
        <v>4.6000000000000005</v>
      </c>
      <c r="M80" s="1114">
        <f>IF(OR(M59=0,P79="",M67=0),"",P79*M67)</f>
        <v>6.2</v>
      </c>
      <c r="N80" s="1114">
        <f>IF(OR(N59=0,P79="",N67=0),"",P79*N67)</f>
        <v>1.2000000000000002</v>
      </c>
      <c r="O80" s="1114" t="str">
        <f>IF(OR(O59=0,P79="",O67=0),"",P79*O67)</f>
        <v/>
      </c>
      <c r="P80" s="1115">
        <f>IF(OR(P79="",P67=0),"",P79*P67)</f>
        <v>12</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1219</v>
      </c>
      <c r="I81" s="1042"/>
      <c r="J81" s="43"/>
      <c r="K81" s="1116" t="str">
        <f t="shared" ref="K81:P81" si="352">IF(OR(K80="",K59=0),"", K59-K80)</f>
        <v/>
      </c>
      <c r="L81" s="1116">
        <f t="shared" si="352"/>
        <v>-1.6000000000000005</v>
      </c>
      <c r="M81" s="1116">
        <f t="shared" si="352"/>
        <v>0.79999999999999982</v>
      </c>
      <c r="N81" s="1116">
        <f t="shared" si="352"/>
        <v>0.79999999999999982</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ht="14.1">
      <c r="C82" s="115" t="s">
        <v>1221</v>
      </c>
      <c r="D82" s="1040"/>
      <c r="E82" s="1040"/>
      <c r="F82" s="77"/>
      <c r="G82" s="77"/>
      <c r="H82" s="48" t="s">
        <v>1208</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1218</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1219</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ht="14.1">
      <c r="C85" s="115" t="s">
        <v>1221</v>
      </c>
      <c r="D85" s="77"/>
      <c r="E85" s="77"/>
      <c r="F85" s="77"/>
      <c r="G85" s="77"/>
      <c r="H85" s="48" t="s">
        <v>1209</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1218</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1219</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ht="14.1">
      <c r="C88" s="115" t="s">
        <v>1221</v>
      </c>
      <c r="D88" s="77"/>
      <c r="E88" s="77"/>
      <c r="F88" s="77"/>
      <c r="G88" s="77"/>
      <c r="H88" s="48" t="s">
        <v>1210</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1218</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1219</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1222</v>
      </c>
      <c r="D93" s="43"/>
      <c r="E93" s="48"/>
      <c r="F93" s="43"/>
      <c r="G93" s="35"/>
      <c r="H93" s="48" t="s">
        <v>1203</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1223</v>
      </c>
      <c r="D94" s="43"/>
      <c r="E94" s="48"/>
      <c r="F94" s="43"/>
      <c r="G94" s="35"/>
      <c r="H94" s="48" t="s">
        <v>1205</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1206</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1207</v>
      </c>
      <c r="I96" s="13"/>
      <c r="J96" s="681"/>
      <c r="K96" s="840">
        <f>CA49</f>
        <v>0</v>
      </c>
      <c r="L96" s="841">
        <f>CB49</f>
        <v>0</v>
      </c>
      <c r="M96" s="841">
        <f>CC49</f>
        <v>0</v>
      </c>
      <c r="N96" s="841">
        <f>CD49</f>
        <v>0</v>
      </c>
      <c r="O96" s="842">
        <f>CE49</f>
        <v>0</v>
      </c>
      <c r="P96" s="342">
        <f t="shared" si="359"/>
        <v>0</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1208</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1209</v>
      </c>
      <c r="I98" s="13"/>
      <c r="J98" s="35"/>
      <c r="K98" s="828">
        <f>BQ49</f>
        <v>0</v>
      </c>
      <c r="L98" s="829">
        <f>BR49</f>
        <v>0</v>
      </c>
      <c r="M98" s="829">
        <f>BS49</f>
        <v>0</v>
      </c>
      <c r="N98" s="829">
        <f>BT49</f>
        <v>0</v>
      </c>
      <c r="O98" s="830">
        <f>BU49</f>
        <v>0</v>
      </c>
      <c r="P98" s="797">
        <f t="shared" si="359"/>
        <v>0</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1210</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301</v>
      </c>
      <c r="I100" s="38"/>
      <c r="J100" s="35"/>
      <c r="K100" s="4471">
        <f>SUM(K93:K99)</f>
        <v>0</v>
      </c>
      <c r="L100" s="4471">
        <f>SUM(L93:L99)</f>
        <v>0</v>
      </c>
      <c r="M100" s="4471">
        <f>SUM(M93:M99)</f>
        <v>0</v>
      </c>
      <c r="N100" s="4471">
        <f>SUM(N93:N99)</f>
        <v>0</v>
      </c>
      <c r="O100" s="4471">
        <f>SUM(O93:O99)</f>
        <v>0</v>
      </c>
      <c r="P100" s="4471">
        <f t="shared" si="359"/>
        <v>0</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25"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85" customHeight="1" thickBot="1">
      <c r="A102" s="6" t="s">
        <v>25</v>
      </c>
      <c r="B102" s="6" t="s">
        <v>1224</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1225</v>
      </c>
      <c r="D104" s="229"/>
      <c r="E104" s="229"/>
      <c r="F104" s="43"/>
      <c r="G104" s="35"/>
      <c r="H104" s="48" t="s">
        <v>1203</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1223</v>
      </c>
      <c r="D105" s="229"/>
      <c r="E105" s="229"/>
      <c r="F105" s="43"/>
      <c r="G105" s="35"/>
      <c r="H105" s="48" t="s">
        <v>1205</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1206</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1207</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1208</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1209</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1210</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301</v>
      </c>
      <c r="I111" s="38"/>
      <c r="J111" s="35"/>
      <c r="K111" s="4471">
        <f>SUM(K104:K110)</f>
        <v>0</v>
      </c>
      <c r="L111" s="4471">
        <f>SUM(L104:L110)</f>
        <v>0</v>
      </c>
      <c r="M111" s="4471">
        <f>SUM(M104:M110)</f>
        <v>0</v>
      </c>
      <c r="N111" s="4471">
        <f>SUM(N104:N110)</f>
        <v>0</v>
      </c>
      <c r="O111" s="4471">
        <f>SUM(O104:O110)</f>
        <v>0</v>
      </c>
      <c r="P111" s="4471">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1226</v>
      </c>
      <c r="D113" s="3077"/>
      <c r="E113" s="48" t="s">
        <v>1227</v>
      </c>
      <c r="F113" s="43"/>
      <c r="G113" s="35"/>
      <c r="H113" s="48" t="s">
        <v>1228</v>
      </c>
      <c r="I113" s="13"/>
      <c r="J113" s="35"/>
      <c r="K113" s="837">
        <f>GG49</f>
        <v>0</v>
      </c>
      <c r="L113" s="838">
        <f>GH49</f>
        <v>21</v>
      </c>
      <c r="M113" s="838">
        <f>GI49</f>
        <v>29</v>
      </c>
      <c r="N113" s="838">
        <f>GJ49</f>
        <v>4</v>
      </c>
      <c r="O113" s="839">
        <f>GK49</f>
        <v>0</v>
      </c>
      <c r="P113" s="566">
        <f t="shared" ref="P113:P123" si="361">SUM(K113:O113)</f>
        <v>54</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1141</v>
      </c>
      <c r="I114" s="13"/>
      <c r="J114" s="35"/>
      <c r="K114" s="4467">
        <f>GL49</f>
        <v>0</v>
      </c>
      <c r="L114" s="4468">
        <f>GM49</f>
        <v>2</v>
      </c>
      <c r="M114" s="4468">
        <f>GN49</f>
        <v>2</v>
      </c>
      <c r="N114" s="4468">
        <f>GO49</f>
        <v>2</v>
      </c>
      <c r="O114" s="4469">
        <f>GP49</f>
        <v>0</v>
      </c>
      <c r="P114" s="567">
        <f t="shared" si="361"/>
        <v>6</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1229</v>
      </c>
      <c r="I115" s="498" t="s">
        <v>1230</v>
      </c>
      <c r="J115" s="1714">
        <f>IF($P$67=0,0,P115/$P$67)</f>
        <v>1</v>
      </c>
      <c r="K115" s="798">
        <f>SUM(K113:K114)+GQ49</f>
        <v>0</v>
      </c>
      <c r="L115" s="798">
        <f>SUM(L113:L114)+GR49</f>
        <v>23</v>
      </c>
      <c r="M115" s="798">
        <f>SUM(M113:M114)+GS49</f>
        <v>31</v>
      </c>
      <c r="N115" s="798">
        <f>SUM(N113:N114)+GT49</f>
        <v>6</v>
      </c>
      <c r="O115" s="798">
        <f>SUM(O113:O114)+GU49</f>
        <v>0</v>
      </c>
      <c r="P115" s="798">
        <f t="shared" si="361"/>
        <v>60</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1231</v>
      </c>
      <c r="F116" s="43"/>
      <c r="G116" s="35"/>
      <c r="H116" s="48" t="s">
        <v>1228</v>
      </c>
      <c r="I116" s="13"/>
      <c r="J116" s="35"/>
      <c r="K116" s="837">
        <f>GV49</f>
        <v>0</v>
      </c>
      <c r="L116" s="838">
        <f>GW49</f>
        <v>0</v>
      </c>
      <c r="M116" s="838">
        <f>GX49</f>
        <v>0</v>
      </c>
      <c r="N116" s="838">
        <f>GY49</f>
        <v>0</v>
      </c>
      <c r="O116" s="839">
        <f>GZ49</f>
        <v>0</v>
      </c>
      <c r="P116" s="566">
        <f t="shared" si="361"/>
        <v>0</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1141</v>
      </c>
      <c r="I117" s="13"/>
      <c r="J117" s="35"/>
      <c r="K117" s="4467">
        <f>HA49</f>
        <v>0</v>
      </c>
      <c r="L117" s="4468">
        <f>HB49</f>
        <v>0</v>
      </c>
      <c r="M117" s="4468">
        <f>HC49</f>
        <v>0</v>
      </c>
      <c r="N117" s="4468">
        <f>HD49</f>
        <v>0</v>
      </c>
      <c r="O117" s="4469">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1229</v>
      </c>
      <c r="I118" s="498" t="s">
        <v>1230</v>
      </c>
      <c r="J118" s="1714">
        <f>IF($P$67=0,0,P118/$P$67)</f>
        <v>0</v>
      </c>
      <c r="K118" s="798">
        <f>SUM(K116:K117)+HF49</f>
        <v>0</v>
      </c>
      <c r="L118" s="798">
        <f>SUM(L116:L117)+HG49</f>
        <v>0</v>
      </c>
      <c r="M118" s="798">
        <f>SUM(M116:M117)+HH49</f>
        <v>0</v>
      </c>
      <c r="N118" s="798">
        <f>SUM(N116:N117)+HI49</f>
        <v>0</v>
      </c>
      <c r="O118" s="798">
        <f>SUM(O116:O117)+HJ49</f>
        <v>0</v>
      </c>
      <c r="P118" s="798">
        <f t="shared" si="361"/>
        <v>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1232</v>
      </c>
      <c r="F119" s="3079"/>
      <c r="G119" s="35"/>
      <c r="H119" s="48" t="s">
        <v>1228</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1141</v>
      </c>
      <c r="I120" s="13"/>
      <c r="J120" s="35"/>
      <c r="K120" s="4467">
        <f>HP49</f>
        <v>0</v>
      </c>
      <c r="L120" s="4468">
        <f>HQ49</f>
        <v>0</v>
      </c>
      <c r="M120" s="4468">
        <f>HR49</f>
        <v>0</v>
      </c>
      <c r="N120" s="4468">
        <f>HS49</f>
        <v>0</v>
      </c>
      <c r="O120" s="4469">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1229</v>
      </c>
      <c r="I121" s="498" t="s">
        <v>1230</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1233</v>
      </c>
      <c r="F122" s="43"/>
      <c r="G122" s="98"/>
      <c r="H122" s="54"/>
      <c r="I122" s="35"/>
      <c r="J122" s="35"/>
      <c r="K122" s="4473"/>
      <c r="L122" s="4473"/>
      <c r="M122" s="4473"/>
      <c r="N122" s="4473"/>
      <c r="O122" s="4473"/>
      <c r="P122" s="4474">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1234</v>
      </c>
      <c r="F123" s="43"/>
      <c r="G123" s="98"/>
      <c r="H123" s="54"/>
      <c r="I123" s="35"/>
      <c r="J123" s="35"/>
      <c r="K123" s="4475"/>
      <c r="L123" s="4475"/>
      <c r="M123" s="4475"/>
      <c r="N123" s="4475"/>
      <c r="O123" s="4475"/>
      <c r="P123" s="4476">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1235</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1236</v>
      </c>
      <c r="D127" s="3077"/>
      <c r="E127" s="48" t="s">
        <v>1237</v>
      </c>
      <c r="F127" s="43"/>
      <c r="G127" s="98"/>
      <c r="H127" s="54"/>
      <c r="I127" s="35"/>
      <c r="J127" s="35"/>
      <c r="K127" s="4481" t="s">
        <v>67</v>
      </c>
      <c r="L127" s="43" t="s">
        <v>1238</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2"/>
      <c r="L128" s="3077" t="s">
        <v>1239</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2"/>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1240</v>
      </c>
      <c r="D131" s="3076"/>
      <c r="E131" s="677" t="s">
        <v>665</v>
      </c>
      <c r="F131" s="4483"/>
      <c r="G131" s="678"/>
      <c r="H131" s="1071"/>
      <c r="I131" s="679"/>
      <c r="J131" s="680"/>
      <c r="K131" s="834">
        <f t="shared" ref="K131:P131" si="362">SUM(K132:K139)</f>
        <v>0</v>
      </c>
      <c r="L131" s="835">
        <f t="shared" si="362"/>
        <v>23</v>
      </c>
      <c r="M131" s="835">
        <f t="shared" si="362"/>
        <v>31</v>
      </c>
      <c r="N131" s="835">
        <f t="shared" si="362"/>
        <v>6</v>
      </c>
      <c r="O131" s="836">
        <f t="shared" si="362"/>
        <v>0</v>
      </c>
      <c r="P131" s="799">
        <f t="shared" si="362"/>
        <v>60</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777</v>
      </c>
      <c r="I132" s="16"/>
      <c r="J132" s="681"/>
      <c r="K132" s="828">
        <f>JS49</f>
        <v>0</v>
      </c>
      <c r="L132" s="829">
        <f>JT49</f>
        <v>23</v>
      </c>
      <c r="M132" s="829">
        <f>JU49</f>
        <v>31</v>
      </c>
      <c r="N132" s="829">
        <f>JV49</f>
        <v>6</v>
      </c>
      <c r="O132" s="830">
        <f>JW49</f>
        <v>0</v>
      </c>
      <c r="P132" s="797">
        <f t="shared" ref="P132:P147" si="363">SUM(K132:O132)</f>
        <v>60</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1235</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1241</v>
      </c>
      <c r="I134" s="16"/>
      <c r="J134" s="681"/>
      <c r="K134" s="828">
        <f>JX49</f>
        <v>0</v>
      </c>
      <c r="L134" s="829">
        <f>JY49</f>
        <v>0</v>
      </c>
      <c r="M134" s="829">
        <f>JZ49</f>
        <v>0</v>
      </c>
      <c r="N134" s="829">
        <f>KA49</f>
        <v>0</v>
      </c>
      <c r="O134" s="830">
        <f>KB49</f>
        <v>0</v>
      </c>
      <c r="P134" s="797">
        <f t="shared" si="363"/>
        <v>0</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1235</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1242</v>
      </c>
      <c r="I136" s="16"/>
      <c r="J136" s="35"/>
      <c r="K136" s="843">
        <f>KM49</f>
        <v>0</v>
      </c>
      <c r="L136" s="844">
        <f>KN49</f>
        <v>0</v>
      </c>
      <c r="M136" s="844">
        <f>KO49</f>
        <v>0</v>
      </c>
      <c r="N136" s="844">
        <f>KP49</f>
        <v>0</v>
      </c>
      <c r="O136" s="845">
        <f>KQ49</f>
        <v>0</v>
      </c>
      <c r="P136" s="4484">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1235</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1243</v>
      </c>
      <c r="I138" s="16"/>
      <c r="J138" s="35"/>
      <c r="K138" s="843">
        <f>KR49</f>
        <v>0</v>
      </c>
      <c r="L138" s="844">
        <f>KS49</f>
        <v>0</v>
      </c>
      <c r="M138" s="844">
        <f>KT49</f>
        <v>0</v>
      </c>
      <c r="N138" s="844">
        <f>KU49</f>
        <v>0</v>
      </c>
      <c r="O138" s="845">
        <f>KV49</f>
        <v>0</v>
      </c>
      <c r="P138" s="4484">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1235</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1244</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1235</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667</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1235</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658</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1235</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1245</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1235</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85" customHeight="1" thickBot="1">
      <c r="A149" s="6" t="s">
        <v>25</v>
      </c>
      <c r="B149" s="6" t="s">
        <v>1224</v>
      </c>
      <c r="C149" s="77"/>
      <c r="D149" s="77"/>
      <c r="E149" s="77"/>
      <c r="F149" s="77"/>
      <c r="G149" s="77"/>
      <c r="H149" s="40"/>
      <c r="I149" s="77"/>
      <c r="J149" s="77"/>
      <c r="K149" s="77"/>
      <c r="L149" s="3072" t="str">
        <f>$O$53</f>
        <v>40% of Units at 60% of AMI</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1246</v>
      </c>
      <c r="D151" s="3076"/>
      <c r="E151" s="677" t="s">
        <v>1247</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1235</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1248</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1235</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1249</v>
      </c>
      <c r="F155" s="98"/>
      <c r="G155" s="35"/>
      <c r="H155" s="1039"/>
      <c r="I155" s="16"/>
      <c r="J155" s="681"/>
      <c r="K155" s="843">
        <f t="shared" ref="K155:O158" si="367">K132+K136</f>
        <v>0</v>
      </c>
      <c r="L155" s="844">
        <f t="shared" si="367"/>
        <v>23</v>
      </c>
      <c r="M155" s="844">
        <f t="shared" si="367"/>
        <v>31</v>
      </c>
      <c r="N155" s="844">
        <f t="shared" si="367"/>
        <v>6</v>
      </c>
      <c r="O155" s="845">
        <f t="shared" si="367"/>
        <v>0</v>
      </c>
      <c r="P155" s="1263">
        <f t="shared" si="365"/>
        <v>60</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1235</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1250</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1235</v>
      </c>
      <c r="I158" s="44"/>
      <c r="J158" s="35"/>
      <c r="K158" s="1270">
        <f t="shared" si="367"/>
        <v>0</v>
      </c>
      <c r="L158" s="1271">
        <f t="shared" si="367"/>
        <v>0</v>
      </c>
      <c r="M158" s="1271">
        <f t="shared" si="367"/>
        <v>0</v>
      </c>
      <c r="N158" s="1271">
        <f t="shared" si="367"/>
        <v>0</v>
      </c>
      <c r="O158" s="1272">
        <f t="shared" si="367"/>
        <v>0</v>
      </c>
      <c r="P158" s="1273">
        <f t="shared" si="365"/>
        <v>0</v>
      </c>
      <c r="Q158" s="3078" t="s">
        <v>1251</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1252</v>
      </c>
      <c r="C160" s="43"/>
      <c r="D160" s="43"/>
      <c r="E160" s="43"/>
      <c r="F160" s="43"/>
      <c r="G160" s="35"/>
      <c r="H160" s="16"/>
      <c r="I160" s="16"/>
      <c r="J160" s="35"/>
      <c r="K160" s="4486"/>
      <c r="L160" s="4486"/>
      <c r="M160" s="4486"/>
      <c r="N160" s="4486"/>
      <c r="O160" s="4486"/>
      <c r="P160" s="4486"/>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1253</v>
      </c>
      <c r="D161" s="43"/>
      <c r="E161" s="43"/>
      <c r="F161" s="43"/>
      <c r="G161" s="35"/>
      <c r="H161" s="40" t="s">
        <v>1203</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1205</v>
      </c>
      <c r="I162" s="16"/>
      <c r="J162" s="35"/>
      <c r="K162" s="846">
        <f>EN49</f>
        <v>0</v>
      </c>
      <c r="L162" s="847">
        <f>EO49</f>
        <v>0</v>
      </c>
      <c r="M162" s="847">
        <f>EP49</f>
        <v>0</v>
      </c>
      <c r="N162" s="847">
        <f>EQ49</f>
        <v>0</v>
      </c>
      <c r="O162" s="848">
        <f>ER49</f>
        <v>0</v>
      </c>
      <c r="P162" s="795">
        <f t="shared" si="368"/>
        <v>0</v>
      </c>
      <c r="Q162" s="940" t="str">
        <f t="shared" si="369"/>
        <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1206</v>
      </c>
      <c r="I163" s="16"/>
      <c r="J163" s="35"/>
      <c r="K163" s="846">
        <f>ES49</f>
        <v>0</v>
      </c>
      <c r="L163" s="847">
        <f>ET49</f>
        <v>12834</v>
      </c>
      <c r="M163" s="847">
        <f>EU49</f>
        <v>21648</v>
      </c>
      <c r="N163" s="847">
        <f>EV49</f>
        <v>2252</v>
      </c>
      <c r="O163" s="848">
        <f>EW49</f>
        <v>0</v>
      </c>
      <c r="P163" s="795">
        <f t="shared" si="368"/>
        <v>36734</v>
      </c>
      <c r="Q163" s="940">
        <f t="shared" si="369"/>
        <v>874.61904761904759</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1207</v>
      </c>
      <c r="I164" s="16"/>
      <c r="J164" s="681"/>
      <c r="K164" s="898">
        <f>EX49</f>
        <v>0</v>
      </c>
      <c r="L164" s="899">
        <f>EY49</f>
        <v>2139</v>
      </c>
      <c r="M164" s="899">
        <f>EZ49</f>
        <v>6888</v>
      </c>
      <c r="N164" s="899">
        <f>FA49</f>
        <v>2252</v>
      </c>
      <c r="O164" s="900">
        <f>FB49</f>
        <v>0</v>
      </c>
      <c r="P164" s="901">
        <f t="shared" si="368"/>
        <v>11279</v>
      </c>
      <c r="Q164" s="940">
        <f t="shared" si="369"/>
        <v>939.91666666666663</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1208</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1209</v>
      </c>
      <c r="I166" s="16"/>
      <c r="J166" s="35"/>
      <c r="K166" s="846">
        <f>FH49</f>
        <v>0</v>
      </c>
      <c r="L166" s="847">
        <f>FI49</f>
        <v>0</v>
      </c>
      <c r="M166" s="847">
        <f>FJ49</f>
        <v>0</v>
      </c>
      <c r="N166" s="847">
        <f>FK49</f>
        <v>0</v>
      </c>
      <c r="O166" s="848">
        <f>FL49</f>
        <v>0</v>
      </c>
      <c r="P166" s="795">
        <f t="shared" si="368"/>
        <v>0</v>
      </c>
      <c r="Q166" s="940" t="str">
        <f t="shared" si="369"/>
        <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1210</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1254</v>
      </c>
      <c r="I168" s="44"/>
      <c r="J168" s="801"/>
      <c r="K168" s="1265">
        <f>SUM(K161:K167)</f>
        <v>0</v>
      </c>
      <c r="L168" s="1265">
        <f>SUM(L161:L167)</f>
        <v>14973</v>
      </c>
      <c r="M168" s="1265">
        <f>SUM(M161:M167)</f>
        <v>28536</v>
      </c>
      <c r="N168" s="1265">
        <f>SUM(N161:N167)</f>
        <v>4504</v>
      </c>
      <c r="O168" s="1265">
        <f>SUM(O161:O167)</f>
        <v>0</v>
      </c>
      <c r="P168" s="1265">
        <f>SUM(K168:O168)</f>
        <v>48013</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1141</v>
      </c>
      <c r="D169" s="43"/>
      <c r="E169" s="43"/>
      <c r="F169" s="43"/>
      <c r="G169" s="43"/>
      <c r="H169" s="35"/>
      <c r="I169" s="35"/>
      <c r="J169" s="35"/>
      <c r="K169" s="4487">
        <f>FR49</f>
        <v>0</v>
      </c>
      <c r="L169" s="4488">
        <f>FS49</f>
        <v>1426</v>
      </c>
      <c r="M169" s="4488">
        <f>FT49</f>
        <v>1968</v>
      </c>
      <c r="N169" s="4488">
        <f>FU49</f>
        <v>2252</v>
      </c>
      <c r="O169" s="4489">
        <f>FV49</f>
        <v>0</v>
      </c>
      <c r="P169" s="796">
        <f>SUM(K169:O169)</f>
        <v>5646</v>
      </c>
      <c r="Q169" s="905">
        <f>IF(OR(P64=0,P64=""),"",P169/P64)</f>
        <v>941</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1212</v>
      </c>
      <c r="D170" s="800"/>
      <c r="E170" s="800"/>
      <c r="F170" s="800"/>
      <c r="G170" s="800"/>
      <c r="H170" s="801"/>
      <c r="I170" s="801"/>
      <c r="J170" s="801"/>
      <c r="K170" s="1264">
        <f>SUM(K168:K169)</f>
        <v>0</v>
      </c>
      <c r="L170" s="1264">
        <f>SUM(L168:L169)</f>
        <v>16399</v>
      </c>
      <c r="M170" s="1264">
        <f>SUM(M168:M169)</f>
        <v>30504</v>
      </c>
      <c r="N170" s="1264">
        <f>SUM(N168:N169)</f>
        <v>6756</v>
      </c>
      <c r="O170" s="1264">
        <f>SUM(O168:O169)</f>
        <v>0</v>
      </c>
      <c r="P170" s="1264">
        <f>SUM(K170:O170)</f>
        <v>53659</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1213</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301</v>
      </c>
      <c r="D172" s="43"/>
      <c r="E172" s="43"/>
      <c r="F172" s="43"/>
      <c r="G172" s="43"/>
      <c r="H172" s="35"/>
      <c r="I172" s="35"/>
      <c r="J172" s="35"/>
      <c r="K172" s="4490">
        <f>SUM(K170:K171)</f>
        <v>0</v>
      </c>
      <c r="L172" s="4490">
        <f>SUM(L170:L171)</f>
        <v>16399</v>
      </c>
      <c r="M172" s="4490">
        <f>SUM(M170:M171)</f>
        <v>30504</v>
      </c>
      <c r="N172" s="4490">
        <f>SUM(N170:N171)</f>
        <v>6756</v>
      </c>
      <c r="O172" s="4490">
        <f>SUM(O170:O171)</f>
        <v>0</v>
      </c>
      <c r="P172" s="4490">
        <f>SUM(K172:O172)</f>
        <v>53659</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25" customHeight="1">
      <c r="A173" s="77"/>
      <c r="B173" s="77"/>
      <c r="C173" s="77"/>
      <c r="D173" s="77"/>
      <c r="E173" s="77"/>
      <c r="F173" s="77"/>
      <c r="G173" s="77"/>
      <c r="H173" s="77"/>
      <c r="I173" s="77"/>
      <c r="J173" s="77"/>
      <c r="K173" s="77"/>
      <c r="L173" s="77"/>
      <c r="M173" s="77"/>
      <c r="N173" s="77"/>
      <c r="O173" s="77"/>
      <c r="P173" s="77"/>
      <c r="NQ173" s="2084">
        <v>173</v>
      </c>
    </row>
    <row r="174" spans="1:493" s="41" customFormat="1" ht="14.25"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1255</v>
      </c>
      <c r="D175" s="43"/>
      <c r="E175" s="43"/>
      <c r="F175" s="43"/>
      <c r="G175" s="43"/>
      <c r="H175" s="43"/>
      <c r="I175" s="43"/>
      <c r="J175" s="43"/>
      <c r="K175" s="4491" t="str">
        <f>IF(OR(K67="",K67=0),"",K172/K67)</f>
        <v/>
      </c>
      <c r="L175" s="4491">
        <f>IF(OR(L67="",L67=0),"",L172/L67)</f>
        <v>713</v>
      </c>
      <c r="M175" s="4491">
        <f>IF(OR(M67="",M67=0),"",M172/M67)</f>
        <v>984</v>
      </c>
      <c r="N175" s="4491">
        <f>IF(OR(N67="",N67=0),"",N172/N67)</f>
        <v>1126</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25"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25" customHeight="1">
      <c r="A177" s="6" t="s">
        <v>32</v>
      </c>
      <c r="B177" s="6" t="s">
        <v>1256</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1257</v>
      </c>
      <c r="D178" s="2511"/>
      <c r="E178" s="2511"/>
      <c r="F178" s="2511"/>
      <c r="G178" s="2511"/>
      <c r="H178" s="2511"/>
      <c r="I178" s="2511"/>
      <c r="J178" s="2511"/>
      <c r="K178" s="3111">
        <v>2000</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5" customHeight="1">
      <c r="A179" s="269"/>
      <c r="B179" s="2511"/>
      <c r="C179" s="159" t="s">
        <v>1258</v>
      </c>
      <c r="D179" s="2511"/>
      <c r="E179" s="2511"/>
      <c r="F179" s="2511"/>
      <c r="G179" s="2511"/>
      <c r="H179" s="2511"/>
      <c r="I179" s="2511"/>
      <c r="J179" s="2511"/>
      <c r="K179" s="3113">
        <f>P172+K178</f>
        <v>55659</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25"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25" customHeight="1">
      <c r="A181" s="6" t="s">
        <v>52</v>
      </c>
      <c r="B181" s="6" t="s">
        <v>1259</v>
      </c>
      <c r="C181" s="77"/>
      <c r="D181" s="77"/>
      <c r="E181" s="77"/>
      <c r="F181" s="77"/>
      <c r="G181" s="77"/>
      <c r="H181" s="77"/>
      <c r="I181" s="77"/>
      <c r="J181" s="77"/>
      <c r="K181" s="77"/>
      <c r="L181" s="77"/>
      <c r="M181" s="77"/>
      <c r="N181" s="77"/>
      <c r="O181" s="77"/>
      <c r="P181" s="77"/>
      <c r="Q181" s="77"/>
      <c r="R181" s="77"/>
      <c r="S181" s="6" t="s">
        <v>806</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75" customHeight="1">
      <c r="A183" s="43"/>
      <c r="B183" s="92" t="s">
        <v>1260</v>
      </c>
      <c r="C183" s="48"/>
      <c r="D183" s="48"/>
      <c r="E183" s="48"/>
      <c r="F183" s="48"/>
      <c r="G183" s="48"/>
      <c r="H183" s="3071">
        <f>'Part VI-Pro Forma'!B10*M50</f>
        <v>11568</v>
      </c>
      <c r="I183" s="3071"/>
      <c r="J183" s="1039" t="s">
        <v>1261</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75"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75" customHeight="1">
      <c r="A185" s="77"/>
      <c r="B185" s="292" t="s">
        <v>1262</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75" customHeight="1">
      <c r="A186" s="77"/>
      <c r="B186" s="530" t="s">
        <v>1263</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75" customHeight="1">
      <c r="A187" s="77"/>
      <c r="B187" s="48" t="s">
        <v>1264</v>
      </c>
      <c r="C187" s="48"/>
      <c r="D187" s="48"/>
      <c r="E187" s="48"/>
      <c r="F187" s="48"/>
      <c r="G187" s="77"/>
      <c r="H187" s="4494"/>
      <c r="I187" s="4494"/>
      <c r="J187" s="4494"/>
      <c r="K187" s="4494"/>
      <c r="L187" s="4494"/>
      <c r="M187" s="4494"/>
      <c r="N187" s="4494"/>
      <c r="O187" s="4494"/>
      <c r="P187" s="4494"/>
      <c r="Q187" s="4494"/>
      <c r="R187" s="4495"/>
      <c r="S187" s="3123"/>
      <c r="T187" s="3124"/>
      <c r="U187" s="3124"/>
      <c r="V187" s="3124"/>
      <c r="W187" s="3125"/>
      <c r="NQ187" s="2082">
        <v>187</v>
      </c>
    </row>
    <row r="188" spans="1:493" ht="15.75" customHeight="1">
      <c r="A188" s="77"/>
      <c r="B188" s="48" t="s">
        <v>447</v>
      </c>
      <c r="C188" s="4496"/>
      <c r="D188" s="4497"/>
      <c r="E188" s="4497"/>
      <c r="F188" s="4498"/>
      <c r="G188" s="77"/>
      <c r="H188" s="533"/>
      <c r="I188" s="533"/>
      <c r="J188" s="533"/>
      <c r="K188" s="533"/>
      <c r="L188" s="534"/>
      <c r="M188" s="533"/>
      <c r="N188" s="533"/>
      <c r="O188" s="533"/>
      <c r="P188" s="533"/>
      <c r="Q188" s="533"/>
      <c r="R188" s="4495"/>
      <c r="S188" s="3068"/>
      <c r="T188" s="3069"/>
      <c r="U188" s="3069"/>
      <c r="V188" s="3069"/>
      <c r="W188" s="3070"/>
      <c r="NQ188" s="2084">
        <v>188</v>
      </c>
    </row>
    <row r="189" spans="1:493" ht="15.75" customHeight="1">
      <c r="A189" s="77"/>
      <c r="B189" s="48"/>
      <c r="C189" s="48" t="s">
        <v>1265</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5"/>
      <c r="T189" s="3056"/>
      <c r="U189" s="3056"/>
      <c r="V189" s="3056"/>
      <c r="W189" s="3057"/>
      <c r="NP189" s="1295"/>
      <c r="NQ189" s="2084">
        <v>189</v>
      </c>
    </row>
    <row r="190" spans="1:493" ht="15.75" customHeight="1">
      <c r="A190" s="77"/>
      <c r="B190" s="535" t="s">
        <v>1266</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75" customHeight="1">
      <c r="A191" s="77"/>
      <c r="B191" s="48" t="s">
        <v>1267</v>
      </c>
      <c r="C191" s="48"/>
      <c r="D191" s="48"/>
      <c r="E191" s="48"/>
      <c r="F191" s="48"/>
      <c r="G191" s="77"/>
      <c r="H191" s="4494"/>
      <c r="I191" s="4494"/>
      <c r="J191" s="4494"/>
      <c r="K191" s="4494"/>
      <c r="L191" s="4494"/>
      <c r="M191" s="4494"/>
      <c r="N191" s="4494"/>
      <c r="O191" s="4494"/>
      <c r="P191" s="4494"/>
      <c r="Q191" s="4494"/>
      <c r="R191" s="4495"/>
      <c r="S191" s="3123"/>
      <c r="T191" s="3124"/>
      <c r="U191" s="3124"/>
      <c r="V191" s="3124"/>
      <c r="W191" s="3125"/>
      <c r="NQ191" s="2084">
        <v>191</v>
      </c>
    </row>
    <row r="192" spans="1:493" ht="15.75" customHeight="1">
      <c r="A192" s="77"/>
      <c r="B192" s="48" t="s">
        <v>447</v>
      </c>
      <c r="C192" s="4496"/>
      <c r="D192" s="4497"/>
      <c r="E192" s="4497"/>
      <c r="F192" s="4498"/>
      <c r="G192" s="77"/>
      <c r="H192" s="533"/>
      <c r="I192" s="533"/>
      <c r="J192" s="533"/>
      <c r="K192" s="533"/>
      <c r="L192" s="534"/>
      <c r="M192" s="533"/>
      <c r="N192" s="533"/>
      <c r="O192" s="533"/>
      <c r="P192" s="533"/>
      <c r="Q192" s="533"/>
      <c r="R192" s="4495"/>
      <c r="S192" s="3068"/>
      <c r="T192" s="3069"/>
      <c r="U192" s="3069"/>
      <c r="V192" s="3069"/>
      <c r="W192" s="3070"/>
      <c r="NQ192" s="2084">
        <v>192</v>
      </c>
    </row>
    <row r="193" spans="1:493" ht="15.75" customHeight="1">
      <c r="A193" s="77"/>
      <c r="B193" s="48"/>
      <c r="C193" s="48" t="s">
        <v>1268</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5"/>
      <c r="T193" s="3056"/>
      <c r="U193" s="3056"/>
      <c r="V193" s="3056"/>
      <c r="W193" s="3057"/>
      <c r="NQ193" s="2084">
        <v>193</v>
      </c>
    </row>
    <row r="194" spans="1:493" ht="15.75"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75" customHeight="1">
      <c r="A195" s="77"/>
      <c r="B195" s="530" t="s">
        <v>1263</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1269</v>
      </c>
      <c r="T195" s="43" t="str">
        <f>B195</f>
        <v>Included in Mgt Fee:</v>
      </c>
      <c r="NQ195" s="2084">
        <v>195</v>
      </c>
    </row>
    <row r="196" spans="1:493" ht="15.75" customHeight="1">
      <c r="A196" s="35"/>
      <c r="B196" s="48" t="s">
        <v>1264</v>
      </c>
      <c r="C196" s="48"/>
      <c r="D196" s="48"/>
      <c r="E196" s="48"/>
      <c r="F196" s="48"/>
      <c r="G196" s="77"/>
      <c r="H196" s="4494"/>
      <c r="I196" s="4494"/>
      <c r="J196" s="4494"/>
      <c r="K196" s="4494"/>
      <c r="L196" s="4500"/>
      <c r="M196" s="4494"/>
      <c r="N196" s="4494"/>
      <c r="O196" s="4494"/>
      <c r="P196" s="4494"/>
      <c r="Q196" s="4494"/>
      <c r="R196" s="4495"/>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75" customHeight="1">
      <c r="A197" s="35"/>
      <c r="B197" s="48" t="s">
        <v>447</v>
      </c>
      <c r="C197" s="4496"/>
      <c r="D197" s="4497"/>
      <c r="E197" s="4497"/>
      <c r="F197" s="4498"/>
      <c r="G197" s="77"/>
      <c r="H197" s="533"/>
      <c r="I197" s="533"/>
      <c r="J197" s="533"/>
      <c r="K197" s="533"/>
      <c r="L197" s="534"/>
      <c r="M197" s="533"/>
      <c r="N197" s="533"/>
      <c r="O197" s="533"/>
      <c r="P197" s="533"/>
      <c r="Q197" s="533"/>
      <c r="R197" s="4495"/>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75" customHeight="1">
      <c r="A198" s="35"/>
      <c r="B198" s="48"/>
      <c r="C198" s="48" t="s">
        <v>1265</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75" customHeight="1">
      <c r="A199" s="35"/>
      <c r="B199" s="535" t="s">
        <v>1266</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75" customHeight="1">
      <c r="A200" s="35"/>
      <c r="B200" s="48" t="s">
        <v>1267</v>
      </c>
      <c r="C200" s="48"/>
      <c r="D200" s="48"/>
      <c r="E200" s="48"/>
      <c r="F200" s="48"/>
      <c r="G200" s="77"/>
      <c r="H200" s="4494"/>
      <c r="I200" s="4494"/>
      <c r="J200" s="4494"/>
      <c r="K200" s="4494"/>
      <c r="L200" s="4500"/>
      <c r="M200" s="4494"/>
      <c r="N200" s="4494"/>
      <c r="O200" s="4494"/>
      <c r="P200" s="4494"/>
      <c r="Q200" s="4494"/>
      <c r="R200" s="4495"/>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75" customHeight="1">
      <c r="A201" s="35"/>
      <c r="B201" s="48" t="s">
        <v>447</v>
      </c>
      <c r="C201" s="4496"/>
      <c r="D201" s="4497"/>
      <c r="E201" s="4497"/>
      <c r="F201" s="4498"/>
      <c r="G201" s="77"/>
      <c r="H201" s="533"/>
      <c r="I201" s="533"/>
      <c r="J201" s="533"/>
      <c r="K201" s="533"/>
      <c r="L201" s="534"/>
      <c r="M201" s="533"/>
      <c r="N201" s="533"/>
      <c r="O201" s="533"/>
      <c r="P201" s="533"/>
      <c r="Q201" s="533"/>
      <c r="R201" s="4495"/>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75" customHeight="1">
      <c r="A202" s="35"/>
      <c r="B202" s="48"/>
      <c r="C202" s="48" t="s">
        <v>1268</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75"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75" customHeight="1">
      <c r="A204" s="35"/>
      <c r="B204" s="530" t="s">
        <v>1263</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1270</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75" customHeight="1">
      <c r="A205" s="35"/>
      <c r="B205" s="48" t="s">
        <v>1264</v>
      </c>
      <c r="C205" s="48"/>
      <c r="D205" s="48"/>
      <c r="E205" s="48"/>
      <c r="F205" s="48"/>
      <c r="G205" s="77"/>
      <c r="H205" s="4494"/>
      <c r="I205" s="4494"/>
      <c r="J205" s="4494"/>
      <c r="K205" s="4494"/>
      <c r="L205" s="4500"/>
      <c r="M205" s="4494"/>
      <c r="N205" s="4494"/>
      <c r="O205" s="4494"/>
      <c r="P205" s="4494"/>
      <c r="Q205" s="4494"/>
      <c r="R205" s="4495"/>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75" customHeight="1">
      <c r="A206" s="35"/>
      <c r="B206" s="48" t="s">
        <v>447</v>
      </c>
      <c r="C206" s="4496"/>
      <c r="D206" s="4497"/>
      <c r="E206" s="4497"/>
      <c r="F206" s="4498"/>
      <c r="G206" s="77"/>
      <c r="H206" s="533"/>
      <c r="I206" s="533"/>
      <c r="J206" s="533"/>
      <c r="K206" s="533"/>
      <c r="L206" s="534"/>
      <c r="M206" s="533"/>
      <c r="N206" s="533"/>
      <c r="O206" s="533"/>
      <c r="P206" s="533"/>
      <c r="Q206" s="533"/>
      <c r="R206" s="4495"/>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75" customHeight="1">
      <c r="A207" s="35"/>
      <c r="B207" s="48"/>
      <c r="C207" s="48" t="s">
        <v>1265</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75" customHeight="1">
      <c r="A208" s="35"/>
      <c r="B208" s="535" t="s">
        <v>1266</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75" customHeight="1">
      <c r="A209" s="35"/>
      <c r="B209" s="48" t="s">
        <v>1267</v>
      </c>
      <c r="C209" s="48"/>
      <c r="D209" s="48"/>
      <c r="E209" s="48"/>
      <c r="F209" s="48"/>
      <c r="G209" s="77"/>
      <c r="H209" s="4494"/>
      <c r="I209" s="4494"/>
      <c r="J209" s="4494"/>
      <c r="K209" s="4494"/>
      <c r="L209" s="4500"/>
      <c r="M209" s="4494"/>
      <c r="N209" s="4494"/>
      <c r="O209" s="4494"/>
      <c r="P209" s="4494"/>
      <c r="Q209" s="4494"/>
      <c r="R209" s="4495"/>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75" customHeight="1">
      <c r="A210" s="35"/>
      <c r="B210" s="48" t="s">
        <v>447</v>
      </c>
      <c r="C210" s="4496"/>
      <c r="D210" s="4497"/>
      <c r="E210" s="4497"/>
      <c r="F210" s="4498"/>
      <c r="G210" s="77"/>
      <c r="H210" s="533"/>
      <c r="I210" s="533"/>
      <c r="J210" s="533"/>
      <c r="K210" s="533"/>
      <c r="L210" s="534"/>
      <c r="M210" s="533"/>
      <c r="N210" s="533"/>
      <c r="O210" s="533"/>
      <c r="P210" s="533"/>
      <c r="Q210" s="533"/>
      <c r="R210" s="4495"/>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75" customHeight="1">
      <c r="A211" s="35"/>
      <c r="B211" s="48"/>
      <c r="C211" s="48" t="s">
        <v>1268</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75"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75" customHeight="1">
      <c r="A213" s="77"/>
      <c r="B213" s="530" t="s">
        <v>1263</v>
      </c>
      <c r="C213" s="40"/>
      <c r="D213" s="40"/>
      <c r="E213" s="40"/>
      <c r="F213" s="40"/>
      <c r="G213" s="77"/>
      <c r="H213" s="531">
        <v>31</v>
      </c>
      <c r="I213" s="531">
        <v>32</v>
      </c>
      <c r="J213" s="531">
        <v>33</v>
      </c>
      <c r="K213" s="531">
        <v>34</v>
      </c>
      <c r="L213" s="531">
        <v>35</v>
      </c>
      <c r="M213" s="40"/>
      <c r="N213" s="40"/>
      <c r="O213" s="40"/>
      <c r="P213" s="40"/>
      <c r="Q213" s="40"/>
      <c r="S213" s="72" t="s">
        <v>1270</v>
      </c>
      <c r="T213" s="43" t="str">
        <f>B213</f>
        <v>Included in Mgt Fee:</v>
      </c>
      <c r="NQ213" s="2084">
        <v>213</v>
      </c>
    </row>
    <row r="214" spans="1:493" ht="15.75" customHeight="1">
      <c r="A214" s="77"/>
      <c r="B214" s="48" t="s">
        <v>1264</v>
      </c>
      <c r="C214" s="48"/>
      <c r="D214" s="48"/>
      <c r="E214" s="48"/>
      <c r="F214" s="48"/>
      <c r="G214" s="77"/>
      <c r="H214" s="4494"/>
      <c r="I214" s="4494"/>
      <c r="J214" s="4494"/>
      <c r="K214" s="4494"/>
      <c r="L214" s="4500"/>
      <c r="M214" s="40"/>
      <c r="N214" s="40"/>
      <c r="O214" s="40"/>
      <c r="P214" s="40"/>
      <c r="Q214" s="40"/>
      <c r="R214" s="77"/>
      <c r="S214" s="3123"/>
      <c r="T214" s="3124"/>
      <c r="U214" s="3124"/>
      <c r="V214" s="3124"/>
      <c r="W214" s="3125"/>
      <c r="NQ214" s="2084">
        <v>214</v>
      </c>
    </row>
    <row r="215" spans="1:493" ht="15.75" customHeight="1">
      <c r="A215" s="77"/>
      <c r="B215" s="48" t="s">
        <v>447</v>
      </c>
      <c r="C215" s="4496"/>
      <c r="D215" s="4497"/>
      <c r="E215" s="4497"/>
      <c r="F215" s="4498"/>
      <c r="G215" s="77"/>
      <c r="H215" s="533"/>
      <c r="I215" s="533"/>
      <c r="J215" s="533"/>
      <c r="K215" s="533"/>
      <c r="L215" s="534"/>
      <c r="M215" s="40"/>
      <c r="N215" s="40"/>
      <c r="O215" s="40"/>
      <c r="P215" s="40"/>
      <c r="Q215" s="40"/>
      <c r="R215" s="77"/>
      <c r="S215" s="3068"/>
      <c r="T215" s="3069"/>
      <c r="U215" s="3069"/>
      <c r="V215" s="3069"/>
      <c r="W215" s="3070"/>
      <c r="NQ215" s="2084">
        <v>215</v>
      </c>
    </row>
    <row r="216" spans="1:493" ht="15.75" customHeight="1">
      <c r="A216" s="77"/>
      <c r="B216" s="48"/>
      <c r="C216" s="48" t="s">
        <v>1265</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5"/>
      <c r="T216" s="3056"/>
      <c r="U216" s="3056"/>
      <c r="V216" s="3056"/>
      <c r="W216" s="3057"/>
      <c r="NQ216" s="2084">
        <v>216</v>
      </c>
    </row>
    <row r="217" spans="1:493" ht="15.75" customHeight="1">
      <c r="A217" s="77"/>
      <c r="B217" s="535" t="s">
        <v>1266</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75" customHeight="1">
      <c r="A218" s="77"/>
      <c r="B218" s="48" t="s">
        <v>1267</v>
      </c>
      <c r="C218" s="48"/>
      <c r="D218" s="48"/>
      <c r="E218" s="48"/>
      <c r="F218" s="48"/>
      <c r="G218" s="77"/>
      <c r="H218" s="4494"/>
      <c r="I218" s="4494"/>
      <c r="J218" s="4494"/>
      <c r="K218" s="4494"/>
      <c r="L218" s="4500"/>
      <c r="M218" s="40"/>
      <c r="N218" s="40"/>
      <c r="O218" s="40"/>
      <c r="P218" s="40"/>
      <c r="Q218" s="40"/>
      <c r="R218" s="77"/>
      <c r="S218" s="3123"/>
      <c r="T218" s="3124"/>
      <c r="U218" s="3124"/>
      <c r="V218" s="3124"/>
      <c r="W218" s="3125"/>
      <c r="NQ218" s="2085">
        <v>218</v>
      </c>
    </row>
    <row r="219" spans="1:493" ht="15.75" customHeight="1">
      <c r="A219" s="77"/>
      <c r="B219" s="48" t="s">
        <v>447</v>
      </c>
      <c r="C219" s="4496"/>
      <c r="D219" s="4497"/>
      <c r="E219" s="4497"/>
      <c r="F219" s="4498"/>
      <c r="G219" s="77"/>
      <c r="H219" s="533"/>
      <c r="I219" s="533"/>
      <c r="J219" s="533"/>
      <c r="K219" s="533"/>
      <c r="L219" s="534"/>
      <c r="M219" s="40"/>
      <c r="N219" s="40"/>
      <c r="O219" s="40"/>
      <c r="P219" s="40"/>
      <c r="Q219" s="40"/>
      <c r="R219" s="77"/>
      <c r="S219" s="3068"/>
      <c r="T219" s="3069"/>
      <c r="U219" s="3069"/>
      <c r="V219" s="3069"/>
      <c r="W219" s="3070"/>
      <c r="NQ219" s="2084">
        <v>219</v>
      </c>
    </row>
    <row r="220" spans="1:493" ht="15.75" customHeight="1">
      <c r="A220" s="77"/>
      <c r="B220" s="48"/>
      <c r="C220" s="48" t="s">
        <v>1268</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70</v>
      </c>
      <c r="B222" s="2540" t="s">
        <v>1271</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806</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1272</v>
      </c>
      <c r="C224" s="43"/>
      <c r="D224" s="43"/>
      <c r="E224" s="43"/>
      <c r="F224"/>
      <c r="G224"/>
      <c r="H224" s="43"/>
      <c r="I224" s="3" t="s">
        <v>1273</v>
      </c>
      <c r="K224" s="43"/>
      <c r="L224" s="43"/>
      <c r="M224" s="43"/>
      <c r="N224" s="43"/>
      <c r="O224" s="3" t="s">
        <v>1274</v>
      </c>
      <c r="P224" s="43"/>
      <c r="Q224" s="4502">
        <f>IF(OR('Part VI-Pro Forma'!$B$22 = "Choose Mgt Fee",'Part VI-Pro Forma'!$B$22 = "Choose One!"), 0,- 'Part VI-Pro Forma'!$B$22)</f>
        <v>27434</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1275</v>
      </c>
      <c r="C225" s="43"/>
      <c r="D225" s="43"/>
      <c r="E225" s="43"/>
      <c r="F225" s="4503">
        <v>46000</v>
      </c>
      <c r="G225" s="4504"/>
      <c r="H225" s="43"/>
      <c r="I225" s="43" t="s">
        <v>1276</v>
      </c>
      <c r="K225" s="43"/>
      <c r="L225" s="4503"/>
      <c r="M225" s="4504"/>
      <c r="N225" s="43"/>
      <c r="O225" s="219">
        <f>+Q224/(P67*0.93)</f>
        <v>491.6487455197132</v>
      </c>
      <c r="P225" s="23" t="s">
        <v>1277</v>
      </c>
      <c r="Q225" s="43"/>
      <c r="R225" s="4495"/>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1278</v>
      </c>
      <c r="C226" s="43"/>
      <c r="D226" s="43"/>
      <c r="E226" s="43"/>
      <c r="F226" s="4505">
        <v>39000</v>
      </c>
      <c r="G226" s="4506"/>
      <c r="H226" s="43"/>
      <c r="I226" s="43" t="s">
        <v>1279</v>
      </c>
      <c r="K226" s="43"/>
      <c r="L226" s="4507">
        <v>3468</v>
      </c>
      <c r="M226" s="4508"/>
      <c r="N226" s="43"/>
      <c r="O226" s="219">
        <f>+Q224/(P67*0.93)/12</f>
        <v>40.970728793309434</v>
      </c>
      <c r="P226" s="23" t="s">
        <v>1280</v>
      </c>
      <c r="Q226" s="43"/>
      <c r="R226" s="4495"/>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1281</v>
      </c>
      <c r="C227" s="43"/>
      <c r="D227" s="43"/>
      <c r="E227" s="43"/>
      <c r="F227" s="4505"/>
      <c r="G227" s="4506"/>
      <c r="H227" s="43"/>
      <c r="I227" s="43"/>
      <c r="K227" s="5" t="s">
        <v>547</v>
      </c>
      <c r="L227" s="4509">
        <f>SUM(L225:M226)</f>
        <v>3468</v>
      </c>
      <c r="M227" s="4510"/>
      <c r="N227" s="43"/>
      <c r="O227" s="13" t="s">
        <v>1282</v>
      </c>
      <c r="P227" s="68"/>
      <c r="Q227" s="68"/>
      <c r="R227" s="4495"/>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1283</v>
      </c>
      <c r="F228" s="4505">
        <v>6000</v>
      </c>
      <c r="G228" s="4506"/>
      <c r="H228" s="43"/>
      <c r="I228" s="43"/>
      <c r="K228" s="43"/>
      <c r="L228" s="43"/>
      <c r="M228" s="43"/>
      <c r="N228" s="43"/>
      <c r="R228" s="4492"/>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1284</v>
      </c>
      <c r="F229" s="4505"/>
      <c r="G229" s="4506"/>
      <c r="H229" s="43"/>
      <c r="I229" s="43"/>
      <c r="K229" s="43"/>
      <c r="L229" s="43"/>
      <c r="M229" s="43"/>
      <c r="N229" s="43"/>
      <c r="R229" s="4492"/>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1285</v>
      </c>
      <c r="C230" s="3639"/>
      <c r="D230" s="3639"/>
      <c r="E230" s="3640"/>
      <c r="F230" s="4507">
        <v>17000</v>
      </c>
      <c r="G230" s="4508"/>
      <c r="H230" s="43"/>
      <c r="I230" s="3" t="s">
        <v>1286</v>
      </c>
      <c r="K230" s="43"/>
      <c r="L230" s="43"/>
      <c r="M230" s="43"/>
      <c r="N230" s="43"/>
      <c r="R230" s="4492"/>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4509">
        <f>SUM(F225:G230)</f>
        <v>108000</v>
      </c>
      <c r="G231" s="4510"/>
      <c r="H231" s="43"/>
      <c r="I231" s="43" t="s">
        <v>1287</v>
      </c>
      <c r="K231" s="43"/>
      <c r="L231" s="4511">
        <v>2500</v>
      </c>
      <c r="M231" s="4512"/>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622</v>
      </c>
      <c r="K232" s="43"/>
      <c r="L232" s="4514">
        <v>10000</v>
      </c>
      <c r="M232" s="4515"/>
      <c r="N232" s="3061" t="str">
        <f>IF(Q234="","",IF(Q232&lt;Q234, "WARNING! OE may be below required minimum.",""))</f>
        <v/>
      </c>
      <c r="O232" s="3" t="s">
        <v>1288</v>
      </c>
      <c r="P232" s="43"/>
      <c r="Q232" s="4516">
        <f>F231+F240+F251+L227+L235+L245+L251+Q224</f>
        <v>302664</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1289</v>
      </c>
      <c r="C233" s="43"/>
      <c r="D233" s="4517"/>
      <c r="E233" s="43"/>
      <c r="F233" s="43"/>
      <c r="G233" s="43"/>
      <c r="H233" s="43"/>
      <c r="I233" s="43" t="s">
        <v>1290</v>
      </c>
      <c r="K233" s="43"/>
      <c r="L233" s="4514">
        <v>1000</v>
      </c>
      <c r="M233" s="4515"/>
      <c r="N233" s="3061"/>
      <c r="O233" s="23" t="s">
        <v>1291</v>
      </c>
      <c r="P233" s="219">
        <f>+Q232/P67</f>
        <v>5044.3999999999996</v>
      </c>
      <c r="R233" s="4518"/>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1292</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1293</v>
      </c>
      <c r="C234" s="43"/>
      <c r="D234" s="4517"/>
      <c r="E234" s="43"/>
      <c r="F234" s="4503">
        <v>950</v>
      </c>
      <c r="G234" s="4504"/>
      <c r="H234" s="43"/>
      <c r="I234" s="3052" t="s">
        <v>1294</v>
      </c>
      <c r="J234" s="3053"/>
      <c r="K234" s="3054"/>
      <c r="L234" s="4519"/>
      <c r="M234" s="4520"/>
      <c r="N234" s="3061"/>
      <c r="P234" s="573" t="s">
        <v>1295</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195000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1296</v>
      </c>
      <c r="C235" s="43"/>
      <c r="D235" s="4517"/>
      <c r="E235" s="43"/>
      <c r="F235" s="4505">
        <v>2900</v>
      </c>
      <c r="G235" s="4506"/>
      <c r="H235" s="43"/>
      <c r="I235" s="3"/>
      <c r="K235" s="5" t="s">
        <v>547</v>
      </c>
      <c r="L235" s="4521">
        <f>SUM(L231:L234)</f>
        <v>13500</v>
      </c>
      <c r="M235" s="4522"/>
      <c r="N235" s="3061"/>
      <c r="O235" s="3110" t="s">
        <v>1297</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1298</v>
      </c>
      <c r="C236" s="43"/>
      <c r="D236" s="4517"/>
      <c r="E236" s="43"/>
      <c r="F236" s="4505">
        <v>600</v>
      </c>
      <c r="G236" s="4506"/>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1299</v>
      </c>
      <c r="C237" s="43"/>
      <c r="D237" s="4517"/>
      <c r="E237" s="43"/>
      <c r="F237" s="4505">
        <v>3600</v>
      </c>
      <c r="G237" s="4506"/>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1300</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1301</v>
      </c>
      <c r="C238" s="43"/>
      <c r="D238" s="4517"/>
      <c r="E238" s="43"/>
      <c r="F238" s="4505">
        <v>1400</v>
      </c>
      <c r="G238" s="4506"/>
      <c r="H238" s="43"/>
      <c r="I238" s="3" t="s">
        <v>1302</v>
      </c>
      <c r="K238" s="2512" t="s">
        <v>1303</v>
      </c>
      <c r="O238" s="957" t="s">
        <v>1304</v>
      </c>
      <c r="P238" s="3"/>
      <c r="Q238" s="4523">
        <f>Q247</f>
        <v>18000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1305</v>
      </c>
      <c r="C239" s="3639"/>
      <c r="D239" s="3639"/>
      <c r="E239" s="3640"/>
      <c r="F239" s="4507">
        <v>800</v>
      </c>
      <c r="G239" s="4508"/>
      <c r="H239" s="43"/>
      <c r="I239" s="43" t="s">
        <v>1306</v>
      </c>
      <c r="K239" s="259">
        <f>L239/12/P67</f>
        <v>20</v>
      </c>
      <c r="L239" s="4511">
        <v>14400</v>
      </c>
      <c r="M239" s="4512"/>
      <c r="N239" s="3061" t="str">
        <f>IF(Q238&lt;Q247, "WARNING! RR proposed is below the DCA required minimum.","")</f>
        <v/>
      </c>
      <c r="O239" s="586" t="s">
        <v>1307</v>
      </c>
      <c r="P239" s="4483"/>
      <c r="Q239" s="587">
        <f>Q238/P247</f>
        <v>300</v>
      </c>
      <c r="R239" s="4492"/>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4509">
        <f>SUM(F234:G239)</f>
        <v>10250</v>
      </c>
      <c r="G240" s="4510"/>
      <c r="H240" s="43"/>
      <c r="I240" s="43" t="s">
        <v>1308</v>
      </c>
      <c r="K240" s="259">
        <f>L240/12/P67</f>
        <v>0</v>
      </c>
      <c r="L240" s="4514"/>
      <c r="M240" s="4515"/>
      <c r="N240" s="3062"/>
      <c r="O240" s="3063" t="s">
        <v>1309</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1310</v>
      </c>
      <c r="K241" s="259">
        <f>L241/12/P67</f>
        <v>25</v>
      </c>
      <c r="L241" s="4514">
        <v>18000</v>
      </c>
      <c r="M241" s="4515"/>
      <c r="N241" s="3062"/>
      <c r="O241" s="581" t="s">
        <v>1311</v>
      </c>
      <c r="P241" s="509" t="s">
        <v>1312</v>
      </c>
      <c r="Q241" s="582" t="s">
        <v>1313</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619</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1314</v>
      </c>
      <c r="C242" s="43"/>
      <c r="D242" s="4517"/>
      <c r="E242" s="43"/>
      <c r="F242" s="43"/>
      <c r="G242" s="43"/>
      <c r="H242" s="43"/>
      <c r="I242" s="43" t="s">
        <v>1315</v>
      </c>
      <c r="K242" s="259">
        <f>L242/12/P67</f>
        <v>16.666666666666668</v>
      </c>
      <c r="L242" s="4514">
        <v>12000</v>
      </c>
      <c r="M242" s="4515"/>
      <c r="N242" s="3062"/>
      <c r="O242" s="362" t="s">
        <v>665</v>
      </c>
      <c r="Q242" s="363"/>
      <c r="R242" s="4518"/>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1316</v>
      </c>
      <c r="C243" s="43"/>
      <c r="D243" s="4517"/>
      <c r="E243" s="43"/>
      <c r="F243" s="4524">
        <v>12000</v>
      </c>
      <c r="G243" s="4525"/>
      <c r="H243" s="43"/>
      <c r="I243" s="43" t="s">
        <v>1317</v>
      </c>
      <c r="K243" s="259">
        <f>L243/12/P67</f>
        <v>0</v>
      </c>
      <c r="L243" s="4514"/>
      <c r="M243" s="4515"/>
      <c r="N243" s="3062"/>
      <c r="O243" s="279" t="s">
        <v>1318</v>
      </c>
      <c r="P243" s="511" t="str">
        <f>CONCATENATE(SUM(MF49:MJ49)," units x $",'DCA Underwriting Assumptions'!$Q$41," =")</f>
        <v>0 units x $400 =</v>
      </c>
      <c r="Q243" s="364">
        <f>SUM(MF49:MJ49)*'DCA Underwriting Assumptions'!$Q$41</f>
        <v>0</v>
      </c>
      <c r="R243" s="4526"/>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1319</v>
      </c>
      <c r="C244" s="43"/>
      <c r="D244" s="4517"/>
      <c r="E244" s="43"/>
      <c r="F244" s="4527">
        <v>7000</v>
      </c>
      <c r="G244" s="4528"/>
      <c r="H244" s="43"/>
      <c r="I244" s="3066" t="s">
        <v>1294</v>
      </c>
      <c r="J244" s="3067"/>
      <c r="K244" s="259">
        <f>L244/12/P67</f>
        <v>0</v>
      </c>
      <c r="L244" s="4519"/>
      <c r="M244" s="4520"/>
      <c r="N244" s="3062"/>
      <c r="O244" s="279" t="s">
        <v>1320</v>
      </c>
      <c r="P244" s="511" t="str">
        <f>CONCATENATE(SUM(MK49:MO49)," units x $",'DCA Underwriting Assumptions'!$Q$42," =")</f>
        <v>60 units x $300 =</v>
      </c>
      <c r="Q244" s="364">
        <f>SUM(MK49:MO49)*'DCA Underwriting Assumptions'!$Q$42</f>
        <v>18000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1321</v>
      </c>
      <c r="C245" s="43"/>
      <c r="D245" s="4517"/>
      <c r="E245" s="43"/>
      <c r="F245" s="4527">
        <v>10000</v>
      </c>
      <c r="G245" s="4528"/>
      <c r="H245" s="43"/>
      <c r="K245" s="5" t="s">
        <v>547</v>
      </c>
      <c r="L245" s="4521">
        <f>SUM(L239:L244)</f>
        <v>44400</v>
      </c>
      <c r="M245" s="4522"/>
      <c r="N245" s="3062"/>
      <c r="O245" s="365" t="s">
        <v>1322</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1323</v>
      </c>
      <c r="C246" s="43"/>
      <c r="D246" s="4517"/>
      <c r="E246" s="43"/>
      <c r="F246" s="4505">
        <v>3000</v>
      </c>
      <c r="G246" s="4506"/>
      <c r="H246" s="43"/>
      <c r="O246" s="365" t="s">
        <v>1324</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1325</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1326</v>
      </c>
      <c r="C247" s="43"/>
      <c r="D247" s="4517"/>
      <c r="E247" s="43"/>
      <c r="F247" s="4505">
        <v>3600</v>
      </c>
      <c r="G247" s="4506"/>
      <c r="H247" s="43"/>
      <c r="I247" s="3" t="s">
        <v>1327</v>
      </c>
      <c r="O247" s="583" t="s">
        <v>1328</v>
      </c>
      <c r="P247" s="584">
        <f>SUM(MF49:MJ49)+SUM(MK49:MO49)+SUM(MP49:MT49)+P125</f>
        <v>60</v>
      </c>
      <c r="Q247" s="585">
        <f>SUM(Q243:Q246)</f>
        <v>18000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1329</v>
      </c>
      <c r="C248" s="43"/>
      <c r="D248" s="4517"/>
      <c r="E248" s="43"/>
      <c r="F248" s="4505"/>
      <c r="G248" s="4506"/>
      <c r="H248" s="43"/>
      <c r="I248" s="43" t="s">
        <v>1330</v>
      </c>
      <c r="K248" s="43"/>
      <c r="L248" s="4511">
        <v>15732</v>
      </c>
      <c r="M248" s="4512"/>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1331</v>
      </c>
      <c r="C249" s="43"/>
      <c r="D249" s="4517"/>
      <c r="E249" s="43"/>
      <c r="F249" s="4505">
        <v>11880</v>
      </c>
      <c r="G249" s="4506"/>
      <c r="H249" s="43"/>
      <c r="I249" s="43" t="s">
        <v>1332</v>
      </c>
      <c r="K249" s="43"/>
      <c r="L249" s="4514">
        <v>32400</v>
      </c>
      <c r="M249" s="4515"/>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1294</v>
      </c>
      <c r="C250" s="3639"/>
      <c r="D250" s="3639"/>
      <c r="E250" s="3640"/>
      <c r="F250" s="4507"/>
      <c r="G250" s="4508"/>
      <c r="H250" s="43"/>
      <c r="I250" s="3052" t="s">
        <v>1294</v>
      </c>
      <c r="J250" s="3053"/>
      <c r="K250" s="3054"/>
      <c r="L250" s="4529"/>
      <c r="M250" s="4530"/>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1333</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4531">
        <f>SUM(F243:G250)</f>
        <v>47480</v>
      </c>
      <c r="G251" s="4532"/>
      <c r="H251" s="43"/>
      <c r="K251" s="5" t="s">
        <v>547</v>
      </c>
      <c r="L251" s="4521">
        <f>SUM(L247:L250)</f>
        <v>48132</v>
      </c>
      <c r="M251" s="4522"/>
      <c r="N251" s="43"/>
      <c r="O251" s="3" t="s">
        <v>1334</v>
      </c>
      <c r="P251" s="43"/>
      <c r="Q251" s="4516">
        <f>Q232+Q238</f>
        <v>320664</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75"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1335</v>
      </c>
      <c r="B255" s="3" t="s">
        <v>1336</v>
      </c>
      <c r="C255" s="5"/>
      <c r="D255" s="43"/>
      <c r="E255" s="43"/>
      <c r="H255" s="4513"/>
      <c r="I255" s="897" t="s">
        <v>1337</v>
      </c>
      <c r="K255" s="4533"/>
      <c r="L255" s="4534"/>
      <c r="M255" s="936" t="s">
        <v>1338</v>
      </c>
      <c r="N255" s="4535"/>
      <c r="O255" s="3" t="s">
        <v>1339</v>
      </c>
      <c r="P255" s="43"/>
      <c r="Q255" s="4536">
        <f>K255*N255</f>
        <v>0</v>
      </c>
      <c r="R255" s="4492"/>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1340</v>
      </c>
      <c r="C257" s="5"/>
      <c r="D257" s="43"/>
      <c r="E257" s="43"/>
      <c r="F257" s="4513"/>
      <c r="G257" s="4513"/>
      <c r="H257" s="43"/>
      <c r="I257" s="43"/>
      <c r="J257" s="890" t="s">
        <v>726</v>
      </c>
      <c r="K257" s="897" t="s">
        <v>1341</v>
      </c>
      <c r="L257" s="890" t="s">
        <v>726</v>
      </c>
      <c r="M257" s="32" t="s">
        <v>1342</v>
      </c>
      <c r="N257" s="4535"/>
      <c r="O257" s="43" t="s">
        <v>1343</v>
      </c>
      <c r="P257" s="43"/>
      <c r="Q257" s="4537"/>
      <c r="R257" s="4492"/>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1344</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1345</v>
      </c>
      <c r="B259" s="6" t="s">
        <v>80</v>
      </c>
      <c r="C259" s="77"/>
      <c r="D259" s="77"/>
      <c r="E259" s="77"/>
      <c r="F259" s="77"/>
      <c r="G259" s="77"/>
      <c r="H259" s="77"/>
      <c r="I259" s="77"/>
      <c r="J259" s="77"/>
      <c r="K259" s="77"/>
      <c r="L259" s="77"/>
      <c r="M259" s="77"/>
      <c r="N259" s="6" t="s">
        <v>1346</v>
      </c>
      <c r="O259" s="6"/>
      <c r="P259" s="77"/>
      <c r="NP259" s="1295"/>
      <c r="NQ259" s="2084">
        <v>259</v>
      </c>
    </row>
    <row r="260" spans="1:493" ht="409.5" customHeight="1">
      <c r="A260" s="3050" t="s">
        <v>1347</v>
      </c>
      <c r="B260" s="3050"/>
      <c r="C260" s="3050"/>
      <c r="D260" s="3050"/>
      <c r="E260" s="3050"/>
      <c r="F260" s="3050"/>
      <c r="G260" s="3050"/>
      <c r="H260" s="3050"/>
      <c r="I260" s="3050"/>
      <c r="J260" s="3050"/>
      <c r="K260" s="3050"/>
      <c r="L260" s="3050"/>
      <c r="M260" s="3050"/>
      <c r="N260" s="3051"/>
      <c r="O260" s="3051"/>
      <c r="P260" s="3051"/>
      <c r="Q260" s="3051"/>
      <c r="R260" s="2643" t="s">
        <v>1348</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25" customHeight="1">
      <c r="A264" s="77"/>
      <c r="B264" s="77"/>
      <c r="C264" s="77"/>
      <c r="D264" s="77"/>
      <c r="E264" s="77"/>
      <c r="F264" s="77"/>
      <c r="G264" s="77"/>
      <c r="H264" s="77"/>
      <c r="I264" s="77"/>
      <c r="J264" s="77"/>
      <c r="K264" s="77"/>
      <c r="L264" s="77"/>
      <c r="M264" s="77"/>
      <c r="N264" s="77"/>
      <c r="O264" s="77"/>
      <c r="P264" s="77"/>
      <c r="NP264" s="1295"/>
    </row>
    <row r="265" spans="1:493" s="41" customFormat="1" ht="14.25"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25"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25"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25"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25"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25"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25"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25" customHeight="1">
      <c r="A272" s="77"/>
      <c r="B272" s="77"/>
      <c r="C272" s="77"/>
      <c r="D272" s="77"/>
      <c r="E272" s="77"/>
      <c r="F272" s="77"/>
      <c r="G272" s="77"/>
      <c r="H272" s="77"/>
      <c r="I272" s="77"/>
      <c r="J272" s="77"/>
      <c r="K272" s="77"/>
      <c r="L272" s="77"/>
      <c r="M272" s="77"/>
      <c r="N272" s="77"/>
      <c r="O272" s="77"/>
      <c r="P272" s="77"/>
      <c r="NP272" s="1295"/>
    </row>
    <row r="273" spans="1:493" ht="14.25" customHeight="1">
      <c r="A273" s="77"/>
      <c r="B273" s="77"/>
      <c r="C273" s="77"/>
      <c r="D273" s="77"/>
      <c r="E273" s="77"/>
      <c r="F273" s="77"/>
      <c r="G273" s="77"/>
      <c r="H273" s="77"/>
      <c r="I273" s="77"/>
      <c r="J273" s="77"/>
      <c r="K273" s="77"/>
      <c r="L273" s="77"/>
      <c r="M273" s="77"/>
      <c r="N273" s="77"/>
      <c r="O273" s="77"/>
      <c r="P273" s="77"/>
      <c r="NP273" s="1295"/>
    </row>
    <row r="274" spans="1:493" ht="14.25" customHeight="1">
      <c r="A274" s="77"/>
      <c r="B274" s="77"/>
      <c r="C274" s="77"/>
      <c r="D274" s="77"/>
      <c r="E274" s="77"/>
      <c r="F274" s="77"/>
      <c r="G274" s="77"/>
      <c r="H274" s="77"/>
      <c r="I274" s="77"/>
      <c r="J274" s="77"/>
      <c r="K274" s="77"/>
      <c r="L274" s="77"/>
      <c r="M274" s="77"/>
      <c r="N274" s="77"/>
      <c r="O274" s="77"/>
      <c r="P274" s="77"/>
      <c r="NP274" s="1295"/>
    </row>
    <row r="275" spans="1:493" ht="14.25" customHeight="1">
      <c r="A275" s="77"/>
      <c r="B275" s="77"/>
      <c r="C275" s="77"/>
      <c r="D275" s="77"/>
      <c r="E275" s="77"/>
      <c r="F275" s="77"/>
      <c r="G275" s="77"/>
      <c r="H275" s="77"/>
      <c r="I275" s="77"/>
      <c r="J275" s="77"/>
      <c r="K275" s="77"/>
      <c r="L275" s="77"/>
      <c r="M275" s="77"/>
      <c r="N275" s="77"/>
      <c r="O275" s="77"/>
      <c r="P275" s="77"/>
      <c r="NP275" s="1295"/>
    </row>
    <row r="276" spans="1:493" s="41" customFormat="1" ht="14.25"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25"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25"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25"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25"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25" customHeight="1">
      <c r="A281" s="77"/>
      <c r="B281" s="77"/>
      <c r="C281" s="77"/>
      <c r="D281" s="77"/>
      <c r="E281" s="77"/>
      <c r="F281" s="77"/>
      <c r="G281" s="77"/>
      <c r="H281" s="77"/>
      <c r="I281" s="77"/>
      <c r="J281" s="77"/>
      <c r="K281" s="77"/>
      <c r="L281" s="77"/>
      <c r="M281" s="77"/>
      <c r="N281" s="77"/>
      <c r="O281" s="77"/>
      <c r="P281" s="77"/>
    </row>
    <row r="282" spans="1:493" ht="14.25" customHeight="1">
      <c r="A282" s="6"/>
      <c r="B282" s="77"/>
      <c r="C282" s="77"/>
      <c r="D282" s="77"/>
      <c r="E282" s="77"/>
      <c r="F282" s="77"/>
      <c r="G282" s="77"/>
      <c r="H282" s="77"/>
      <c r="I282" s="77"/>
      <c r="J282" s="77"/>
      <c r="K282" s="77"/>
      <c r="L282" s="77"/>
      <c r="M282" s="77"/>
      <c r="N282" s="77"/>
      <c r="O282" s="77"/>
      <c r="P282" s="77"/>
      <c r="NP282" s="1295"/>
    </row>
    <row r="283" spans="1:493" ht="14.25" customHeight="1">
      <c r="A283" s="77"/>
      <c r="B283" s="77"/>
      <c r="C283" s="77"/>
      <c r="D283" s="77"/>
      <c r="E283" s="77"/>
      <c r="F283" s="77"/>
      <c r="G283" s="77"/>
      <c r="H283" s="77"/>
      <c r="I283" s="77"/>
      <c r="J283" s="77"/>
      <c r="K283" s="77"/>
      <c r="L283" s="77"/>
      <c r="M283" s="77"/>
      <c r="N283" s="77"/>
      <c r="O283" s="77"/>
      <c r="P283" s="77"/>
      <c r="NP283" s="1295"/>
    </row>
    <row r="284" spans="1:493" ht="14.25" customHeight="1">
      <c r="A284" s="77"/>
      <c r="B284" s="77"/>
      <c r="C284" s="77"/>
      <c r="D284" s="77"/>
      <c r="E284" s="77"/>
      <c r="F284" s="77"/>
      <c r="G284" s="77"/>
      <c r="H284" s="77"/>
      <c r="I284" s="77"/>
      <c r="J284" s="77"/>
      <c r="K284" s="77"/>
      <c r="L284" s="77"/>
      <c r="M284" s="77"/>
      <c r="N284" s="77"/>
      <c r="O284" s="77"/>
      <c r="P284" s="77"/>
      <c r="NP284" s="1295"/>
    </row>
    <row r="285" spans="1:493" ht="14.25" customHeight="1">
      <c r="A285" s="77"/>
      <c r="B285" s="77"/>
      <c r="C285" s="77"/>
      <c r="D285" s="77"/>
      <c r="E285" s="77"/>
      <c r="F285" s="77"/>
      <c r="G285" s="77"/>
      <c r="H285" s="77"/>
      <c r="I285" s="77"/>
      <c r="J285" s="77"/>
      <c r="K285" s="77"/>
      <c r="L285" s="77"/>
      <c r="M285" s="77"/>
      <c r="N285" s="77"/>
      <c r="O285" s="77"/>
      <c r="P285" s="77"/>
      <c r="NP285" s="1295"/>
    </row>
    <row r="286" spans="1:493" ht="14.25" customHeight="1">
      <c r="A286" s="77"/>
      <c r="B286" s="77"/>
      <c r="C286" s="77"/>
      <c r="D286" s="77"/>
      <c r="E286" s="77"/>
      <c r="F286" s="77"/>
      <c r="G286" s="77"/>
      <c r="H286" s="77"/>
      <c r="I286" s="77"/>
      <c r="J286" s="77"/>
      <c r="K286" s="77"/>
      <c r="L286" s="77"/>
      <c r="M286" s="77"/>
      <c r="N286" s="77"/>
      <c r="O286" s="77"/>
      <c r="P286" s="77"/>
      <c r="NP286" s="1295"/>
    </row>
    <row r="287" spans="1:493" ht="14.25" customHeight="1">
      <c r="A287" s="77"/>
      <c r="B287" s="77"/>
      <c r="C287" s="77"/>
      <c r="D287" s="77"/>
      <c r="E287" s="77"/>
      <c r="F287" s="77"/>
      <c r="G287" s="77"/>
      <c r="H287" s="77"/>
      <c r="I287" s="77"/>
      <c r="J287" s="77"/>
      <c r="K287" s="77"/>
      <c r="L287" s="77"/>
      <c r="M287" s="77"/>
      <c r="N287" s="77"/>
      <c r="O287" s="77"/>
      <c r="P287" s="77"/>
    </row>
    <row r="288" spans="1:493" s="41" customFormat="1" ht="14.25"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25"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25"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25"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25"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25" customHeight="1">
      <c r="A293" s="77"/>
      <c r="B293" s="77"/>
      <c r="C293" s="77"/>
      <c r="D293" s="77"/>
      <c r="E293" s="77"/>
      <c r="F293" s="77"/>
      <c r="G293" s="77"/>
      <c r="H293" s="77"/>
      <c r="I293" s="77"/>
      <c r="J293" s="77"/>
      <c r="K293" s="77"/>
      <c r="L293" s="77"/>
      <c r="M293" s="77"/>
      <c r="N293" s="77"/>
      <c r="O293" s="77"/>
      <c r="P293" s="77"/>
    </row>
    <row r="294" spans="1:493" ht="14.25" customHeight="1">
      <c r="A294" s="6"/>
      <c r="B294" s="77"/>
      <c r="C294" s="77"/>
      <c r="D294" s="77"/>
      <c r="E294" s="77"/>
      <c r="F294" s="77"/>
      <c r="G294" s="77"/>
      <c r="H294" s="77"/>
      <c r="I294" s="77"/>
      <c r="J294" s="77"/>
      <c r="K294" s="77"/>
      <c r="L294" s="77"/>
      <c r="M294" s="77"/>
      <c r="N294" s="77"/>
      <c r="O294" s="77"/>
      <c r="P294" s="77"/>
      <c r="NP294" s="1295"/>
    </row>
    <row r="295" spans="1:493" ht="14.25" customHeight="1">
      <c r="A295" s="77"/>
      <c r="B295" s="77"/>
      <c r="C295" s="77"/>
      <c r="D295" s="77"/>
      <c r="E295" s="77"/>
      <c r="F295" s="77"/>
      <c r="G295" s="77"/>
      <c r="H295" s="77"/>
      <c r="I295" s="77"/>
      <c r="J295" s="77"/>
      <c r="K295" s="77"/>
      <c r="L295" s="77"/>
      <c r="M295" s="77"/>
      <c r="N295" s="77"/>
      <c r="O295" s="77"/>
      <c r="P295" s="77"/>
      <c r="NP295" s="1295"/>
    </row>
    <row r="296" spans="1:493" ht="14.25" customHeight="1">
      <c r="A296" s="77"/>
      <c r="B296" s="77"/>
      <c r="C296" s="77"/>
      <c r="D296" s="77"/>
      <c r="E296" s="77"/>
      <c r="F296" s="77"/>
      <c r="G296" s="77"/>
      <c r="H296" s="77"/>
      <c r="I296" s="77"/>
      <c r="J296" s="77"/>
      <c r="K296" s="77"/>
      <c r="L296" s="77"/>
      <c r="M296" s="77"/>
      <c r="N296" s="77"/>
      <c r="O296" s="77"/>
      <c r="P296" s="77"/>
      <c r="NP296" s="1295"/>
    </row>
    <row r="297" spans="1:493" ht="14.25" customHeight="1">
      <c r="A297" s="77"/>
      <c r="B297" s="77"/>
      <c r="C297" s="77"/>
      <c r="D297" s="77"/>
      <c r="E297" s="77"/>
      <c r="F297" s="77"/>
      <c r="G297" s="77"/>
      <c r="H297" s="77"/>
      <c r="I297" s="77"/>
      <c r="J297" s="77"/>
      <c r="K297" s="77"/>
      <c r="L297" s="77"/>
      <c r="M297" s="77"/>
      <c r="N297" s="77"/>
      <c r="O297" s="77"/>
      <c r="P297" s="77"/>
      <c r="NP297" s="1295"/>
    </row>
    <row r="298" spans="1:493" ht="14.25" customHeight="1">
      <c r="A298" s="77"/>
      <c r="B298" s="77"/>
      <c r="C298" s="77"/>
      <c r="D298" s="77"/>
      <c r="E298" s="77"/>
      <c r="F298" s="77"/>
      <c r="G298" s="77"/>
      <c r="H298" s="77"/>
      <c r="I298" s="77"/>
      <c r="J298" s="77"/>
      <c r="K298" s="77"/>
      <c r="L298" s="77"/>
      <c r="M298" s="77"/>
      <c r="N298" s="77"/>
      <c r="O298" s="77"/>
      <c r="P298" s="77"/>
      <c r="NP298" s="1295"/>
    </row>
    <row r="299" spans="1:493" ht="14.25" customHeight="1">
      <c r="A299" s="77"/>
      <c r="B299" s="77"/>
      <c r="C299" s="77"/>
      <c r="D299" s="77"/>
      <c r="E299" s="77"/>
      <c r="F299" s="77"/>
      <c r="G299" s="77"/>
      <c r="H299" s="77"/>
      <c r="I299" s="77"/>
      <c r="J299" s="77"/>
      <c r="K299" s="77"/>
      <c r="L299" s="77"/>
      <c r="M299" s="77"/>
      <c r="N299" s="77"/>
      <c r="O299" s="77"/>
      <c r="P299" s="77"/>
    </row>
    <row r="300" spans="1:493" ht="14.25" customHeight="1">
      <c r="A300" s="77"/>
      <c r="B300" s="77"/>
      <c r="C300" s="77"/>
      <c r="D300" s="77"/>
      <c r="E300" s="77"/>
      <c r="F300" s="77"/>
      <c r="G300" s="77"/>
      <c r="H300" s="77"/>
      <c r="I300" s="77"/>
      <c r="J300" s="77"/>
      <c r="K300" s="77"/>
      <c r="L300" s="77"/>
      <c r="M300" s="77"/>
      <c r="N300" s="77"/>
      <c r="O300" s="77"/>
      <c r="P300" s="77"/>
    </row>
    <row r="301" spans="1:493" ht="14.25" customHeight="1">
      <c r="A301" s="77"/>
      <c r="B301" s="77"/>
      <c r="C301" s="77"/>
      <c r="D301" s="77"/>
      <c r="E301" s="77"/>
      <c r="F301" s="77"/>
      <c r="G301" s="77"/>
      <c r="H301" s="77"/>
      <c r="I301" s="77"/>
      <c r="J301" s="77"/>
      <c r="K301" s="77"/>
      <c r="L301" s="77"/>
      <c r="M301" s="77"/>
      <c r="N301" s="77"/>
      <c r="O301" s="77"/>
      <c r="P301" s="77"/>
    </row>
    <row r="302" spans="1:493" ht="14.25" customHeight="1">
      <c r="A302" s="77"/>
      <c r="B302" s="77"/>
      <c r="C302" s="77"/>
      <c r="D302" s="77"/>
      <c r="E302" s="77"/>
      <c r="F302" s="77"/>
      <c r="G302" s="77"/>
      <c r="H302" s="77"/>
      <c r="I302" s="77"/>
      <c r="J302" s="77"/>
      <c r="K302" s="77"/>
      <c r="L302" s="77"/>
      <c r="M302" s="77"/>
      <c r="N302" s="77"/>
      <c r="O302" s="77"/>
      <c r="P302" s="77"/>
    </row>
    <row r="303" spans="1:493" ht="14.25"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disablePrompts="1"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75"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A141" sqref="A141"/>
    </sheetView>
  </sheetViews>
  <sheetFormatPr defaultColWidth="8.7109375" defaultRowHeight="12.9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1349</v>
      </c>
      <c r="C1" s="1294" t="s">
        <v>1350</v>
      </c>
      <c r="D1" s="1294" t="s">
        <v>1351</v>
      </c>
      <c r="E1" s="1294" t="s">
        <v>1352</v>
      </c>
      <c r="F1" s="1294" t="s">
        <v>1353</v>
      </c>
      <c r="G1" s="1294" t="s">
        <v>1354</v>
      </c>
      <c r="H1" s="1294" t="s">
        <v>1355</v>
      </c>
      <c r="I1" s="1294" t="s">
        <v>1356</v>
      </c>
      <c r="J1" s="1294" t="s">
        <v>1357</v>
      </c>
      <c r="K1" s="1294" t="s">
        <v>1358</v>
      </c>
      <c r="AA1" s="1296">
        <v>1</v>
      </c>
    </row>
    <row r="2" spans="1:27" ht="14.25" customHeight="1">
      <c r="A2" s="3130" t="str">
        <f>CONCATENATE("PART SIX - OPERATING PRO FORMA","  -  ",'Part I-Project Identification'!$O$7," ",'Part I-Project Identification'!$F$26,", ",'Part I-Project Identification'!F27,", ",'Part I-Project Identification'!J27," County")</f>
        <v>PART SIX - OPERATING PRO FORMA  -  2024-0 Abbington Blue Ridge, Blue Ridge, Fannin County</v>
      </c>
      <c r="B2" s="4538"/>
      <c r="C2" s="4538"/>
      <c r="D2" s="4538"/>
      <c r="E2" s="4538"/>
      <c r="F2" s="4538"/>
      <c r="G2" s="4538"/>
      <c r="H2" s="4538"/>
      <c r="I2" s="4538"/>
      <c r="J2" s="4538"/>
      <c r="K2" s="4539"/>
      <c r="L2" s="3"/>
      <c r="M2" s="3"/>
      <c r="N2" s="3131" t="str">
        <f>A2</f>
        <v>PART SIX - OPERATING PRO FORMA  -  2024-0 Abbington Blue Ridge, Blue Ridge, Fannin County</v>
      </c>
      <c r="O2" s="3131"/>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4" t="s">
        <v>806</v>
      </c>
      <c r="O3" s="3044"/>
      <c r="P3" s="77"/>
      <c r="Q3" s="77"/>
      <c r="R3" s="77"/>
      <c r="S3" s="77"/>
      <c r="T3" s="77"/>
      <c r="U3" s="77"/>
      <c r="V3" s="77"/>
      <c r="W3" s="77"/>
      <c r="X3" s="77"/>
      <c r="Y3" s="77"/>
      <c r="AA3" s="1296">
        <v>3</v>
      </c>
    </row>
    <row r="4" spans="1:27" ht="13.5" customHeight="1">
      <c r="A4" s="6" t="s">
        <v>1359</v>
      </c>
      <c r="B4" s="77"/>
      <c r="C4" s="3132" t="str">
        <f>'Part I-Project Identification'!$A$6</f>
        <v>2024 May 7</v>
      </c>
      <c r="D4" s="705" t="s">
        <v>1360</v>
      </c>
      <c r="E4" s="4541"/>
      <c r="F4" s="706" t="s">
        <v>1361</v>
      </c>
      <c r="G4" s="77"/>
      <c r="H4" s="77"/>
      <c r="I4" s="77"/>
      <c r="J4" s="77"/>
      <c r="K4" s="77"/>
      <c r="L4" s="77"/>
      <c r="M4" s="77"/>
      <c r="N4" s="6" t="str">
        <f>A4</f>
        <v>I.  OPERATING ASSUMPTIONS</v>
      </c>
      <c r="O4" s="6"/>
      <c r="P4" s="77"/>
      <c r="Q4" s="77"/>
      <c r="R4" s="77"/>
      <c r="S4" s="77"/>
      <c r="T4" s="77"/>
      <c r="U4" s="77"/>
      <c r="V4" s="77"/>
      <c r="W4" s="77"/>
      <c r="X4" s="77"/>
      <c r="Y4" s="77"/>
      <c r="AA4" s="1296">
        <v>4</v>
      </c>
    </row>
    <row r="5" spans="1:27" ht="2.8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1362</v>
      </c>
      <c r="B6" s="4542">
        <f>'DCA Underwriting Assumptions'!$Q$114</f>
        <v>0.02</v>
      </c>
      <c r="C6" s="3133"/>
      <c r="D6" s="3077" t="s">
        <v>1363</v>
      </c>
      <c r="E6" s="3077"/>
      <c r="F6" s="3077"/>
      <c r="G6" s="4543">
        <v>9000</v>
      </c>
      <c r="H6" s="527" t="s">
        <v>1364</v>
      </c>
      <c r="I6" s="77"/>
      <c r="J6" s="77"/>
      <c r="K6" s="4544">
        <f>IF(($B$15+$B$16+$B$17+$B$18)=0,"",B31/($B$15+$B$16+$B$17+$B$18))</f>
        <v>-1.6403295356423923E-2</v>
      </c>
      <c r="L6" s="77"/>
      <c r="M6" s="77"/>
      <c r="N6" s="3123"/>
      <c r="O6" s="3125"/>
      <c r="P6" s="77"/>
      <c r="Q6" s="77"/>
      <c r="R6" s="77"/>
      <c r="S6" s="77"/>
      <c r="T6" s="77"/>
      <c r="U6" s="77"/>
      <c r="V6" s="77"/>
      <c r="W6" s="77"/>
      <c r="X6" s="77"/>
      <c r="Y6" s="77"/>
      <c r="AA6" s="1296">
        <v>6</v>
      </c>
    </row>
    <row r="7" spans="1:27">
      <c r="A7" s="77" t="s">
        <v>1365</v>
      </c>
      <c r="B7" s="4542">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1366</v>
      </c>
      <c r="B8" s="4542">
        <f>'DCA Underwriting Assumptions'!$Q$118</f>
        <v>0.03</v>
      </c>
      <c r="C8" s="3133"/>
      <c r="D8" s="43" t="s">
        <v>1367</v>
      </c>
      <c r="E8" s="77"/>
      <c r="F8" s="77"/>
      <c r="G8" s="4545"/>
      <c r="H8" s="527" t="s">
        <v>1368</v>
      </c>
      <c r="I8" s="77"/>
      <c r="J8" s="77"/>
      <c r="K8" s="4544">
        <f>IF(($B$15+$B$16+$B$17+$B$18)=0,"",-B22/($B$15+$B$16+$B$17+$B$18))</f>
        <v>5.0000889423125992E-2</v>
      </c>
      <c r="L8" s="77"/>
      <c r="M8" s="77"/>
      <c r="N8" s="3068"/>
      <c r="O8" s="3070"/>
      <c r="P8" s="77"/>
      <c r="Q8" s="77"/>
      <c r="R8" s="77"/>
      <c r="S8" s="77"/>
      <c r="T8" s="77"/>
      <c r="U8" s="77"/>
      <c r="V8" s="77"/>
      <c r="W8" s="77"/>
      <c r="X8" s="77"/>
      <c r="Y8" s="77"/>
      <c r="AA8" s="1296">
        <v>8</v>
      </c>
    </row>
    <row r="9" spans="1:27" ht="13.5" customHeight="1">
      <c r="A9" s="77" t="s">
        <v>1369</v>
      </c>
      <c r="B9" s="4546">
        <v>7.0000000000000007E-2</v>
      </c>
      <c r="C9" s="892" t="str">
        <f>IF(B9&lt;0.07, "Must be &gt;= 7%!","")</f>
        <v/>
      </c>
      <c r="D9" s="43" t="s">
        <v>1370</v>
      </c>
      <c r="E9" s="77"/>
      <c r="F9" s="77"/>
      <c r="G9" s="4547"/>
      <c r="H9" s="4548" t="s">
        <v>1371</v>
      </c>
      <c r="I9" s="77"/>
      <c r="J9" s="77"/>
      <c r="K9" s="4549"/>
      <c r="L9" s="77"/>
      <c r="M9" s="77"/>
      <c r="N9" s="3068"/>
      <c r="O9" s="3070"/>
      <c r="P9" s="77"/>
      <c r="Q9" s="77"/>
      <c r="R9" s="77"/>
      <c r="S9" s="77"/>
      <c r="T9" s="77"/>
      <c r="U9" s="77"/>
      <c r="V9" s="77"/>
      <c r="W9" s="77"/>
      <c r="X9" s="77"/>
      <c r="Y9" s="77"/>
      <c r="AA9" s="1296">
        <v>9</v>
      </c>
    </row>
    <row r="10" spans="1:27">
      <c r="A10" s="77" t="s">
        <v>1372</v>
      </c>
      <c r="B10" s="4542">
        <v>0.02</v>
      </c>
      <c r="C10" s="77"/>
      <c r="D10" s="43" t="s">
        <v>1373</v>
      </c>
      <c r="E10" s="77"/>
      <c r="F10" s="77"/>
      <c r="G10" s="4550" t="s">
        <v>67</v>
      </c>
      <c r="H10" s="4548" t="s">
        <v>1374</v>
      </c>
      <c r="I10" s="77"/>
      <c r="J10" s="77"/>
      <c r="K10" s="4551">
        <v>0.05</v>
      </c>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1375</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8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8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1376</v>
      </c>
      <c r="O14" s="2821"/>
      <c r="P14" s="77"/>
      <c r="Q14" s="77"/>
      <c r="R14" s="77"/>
      <c r="S14" s="77"/>
      <c r="T14" s="77"/>
      <c r="U14" s="77"/>
      <c r="V14" s="77"/>
      <c r="W14" s="77"/>
      <c r="X14" s="77"/>
      <c r="Y14" s="77"/>
      <c r="AA14" s="1296">
        <v>14</v>
      </c>
    </row>
    <row r="15" spans="1:27" ht="13.5" customHeight="1">
      <c r="A15" s="4552" t="s">
        <v>1377</v>
      </c>
      <c r="B15" s="4553">
        <f>'Part V-Revenues &amp; Expenses'!$M$50</f>
        <v>578400</v>
      </c>
      <c r="C15" s="4553">
        <f t="shared" ref="C15:K15" si="1">$B$15*(1+$B$6)^(C14-1)</f>
        <v>589968</v>
      </c>
      <c r="D15" s="4553">
        <f t="shared" si="1"/>
        <v>601767.36</v>
      </c>
      <c r="E15" s="4553">
        <f t="shared" si="1"/>
        <v>613802.70719999995</v>
      </c>
      <c r="F15" s="4553">
        <f t="shared" si="1"/>
        <v>626078.761344</v>
      </c>
      <c r="G15" s="4553">
        <f t="shared" si="1"/>
        <v>638600.33657088003</v>
      </c>
      <c r="H15" s="4553">
        <f t="shared" si="1"/>
        <v>651372.34330229764</v>
      </c>
      <c r="I15" s="4553">
        <f t="shared" si="1"/>
        <v>664399.79016834346</v>
      </c>
      <c r="J15" s="4553">
        <f t="shared" si="1"/>
        <v>677687.78597171034</v>
      </c>
      <c r="K15" s="4554">
        <f t="shared" si="1"/>
        <v>691241.54169114458</v>
      </c>
      <c r="L15" s="77"/>
      <c r="M15" s="77"/>
      <c r="N15" s="3123"/>
      <c r="O15" s="3125"/>
      <c r="P15" s="77"/>
      <c r="Q15" s="77"/>
      <c r="R15" s="77"/>
      <c r="S15" s="3126" t="s">
        <v>1378</v>
      </c>
      <c r="T15" s="77"/>
      <c r="U15" s="77"/>
      <c r="V15" s="77"/>
      <c r="W15" s="77"/>
      <c r="X15" s="77"/>
      <c r="Y15" s="77"/>
      <c r="Z15" s="1294" t="s">
        <v>1379</v>
      </c>
      <c r="AA15" s="1296">
        <v>15</v>
      </c>
    </row>
    <row r="16" spans="1:27" ht="13.5" customHeight="1">
      <c r="A16" s="236" t="s">
        <v>1260</v>
      </c>
      <c r="B16" s="4555">
        <f>MIN(B15*B10,'Part V-Revenues &amp; Expenses'!$H$183)</f>
        <v>11568</v>
      </c>
      <c r="C16" s="4555">
        <f t="shared" ref="C16:K16" si="2">$B$16*(1+$B$6)^(C14-1)</f>
        <v>11799.36</v>
      </c>
      <c r="D16" s="4555">
        <f t="shared" si="2"/>
        <v>12035.3472</v>
      </c>
      <c r="E16" s="4555">
        <f t="shared" si="2"/>
        <v>12276.054144</v>
      </c>
      <c r="F16" s="4555">
        <f t="shared" si="2"/>
        <v>12521.575226880001</v>
      </c>
      <c r="G16" s="4555">
        <f t="shared" si="2"/>
        <v>12772.006731417599</v>
      </c>
      <c r="H16" s="4555">
        <f t="shared" si="2"/>
        <v>13027.446866045953</v>
      </c>
      <c r="I16" s="4555">
        <f t="shared" si="2"/>
        <v>13287.995803366868</v>
      </c>
      <c r="J16" s="4555">
        <f t="shared" si="2"/>
        <v>13553.755719434208</v>
      </c>
      <c r="K16" s="4556">
        <f t="shared" si="2"/>
        <v>13824.830833822893</v>
      </c>
      <c r="L16" s="77"/>
      <c r="M16" s="77"/>
      <c r="N16" s="3068"/>
      <c r="O16" s="3070"/>
      <c r="P16" s="77"/>
      <c r="Q16" s="77"/>
      <c r="R16" s="77"/>
      <c r="S16" s="3127"/>
      <c r="T16" s="77"/>
      <c r="U16" s="77"/>
      <c r="V16" s="77"/>
      <c r="W16" s="77"/>
      <c r="X16" s="77"/>
      <c r="Y16" s="77"/>
      <c r="Z16" s="1294" t="s">
        <v>1379</v>
      </c>
      <c r="AA16" s="1296">
        <v>16</v>
      </c>
    </row>
    <row r="17" spans="1:27" ht="13.5" customHeight="1">
      <c r="A17" s="236" t="s">
        <v>1380</v>
      </c>
      <c r="B17" s="4555">
        <f t="shared" ref="B17:K17" si="3">-(B15+B16)*$B$9</f>
        <v>-41297.760000000002</v>
      </c>
      <c r="C17" s="4555">
        <f t="shared" si="3"/>
        <v>-42123.715200000006</v>
      </c>
      <c r="D17" s="4555">
        <f t="shared" si="3"/>
        <v>-42966.189504000002</v>
      </c>
      <c r="E17" s="4555">
        <f t="shared" si="3"/>
        <v>-43825.513294080003</v>
      </c>
      <c r="F17" s="4555">
        <f t="shared" si="3"/>
        <v>-44702.023559961606</v>
      </c>
      <c r="G17" s="4555">
        <f t="shared" si="3"/>
        <v>-45596.064031160837</v>
      </c>
      <c r="H17" s="4555">
        <f t="shared" si="3"/>
        <v>-46507.985311784054</v>
      </c>
      <c r="I17" s="4555">
        <f t="shared" si="3"/>
        <v>-47438.145018019728</v>
      </c>
      <c r="J17" s="4555">
        <f t="shared" si="3"/>
        <v>-48386.907918380122</v>
      </c>
      <c r="K17" s="4556">
        <f t="shared" si="3"/>
        <v>-49354.646076747726</v>
      </c>
      <c r="L17" s="77"/>
      <c r="M17" s="77"/>
      <c r="N17" s="3068"/>
      <c r="O17" s="3070"/>
      <c r="P17" s="77"/>
      <c r="Q17" s="3129" t="s">
        <v>1381</v>
      </c>
      <c r="R17" s="3129" t="s">
        <v>1382</v>
      </c>
      <c r="S17" s="3127"/>
      <c r="T17" s="77"/>
      <c r="U17" s="77"/>
      <c r="V17" s="77"/>
      <c r="W17" s="77"/>
      <c r="X17" s="77"/>
      <c r="Y17" s="77"/>
      <c r="Z17" s="1294" t="s">
        <v>1379</v>
      </c>
      <c r="AA17" s="1296">
        <v>17</v>
      </c>
    </row>
    <row r="18" spans="1:27" ht="13.5" customHeight="1">
      <c r="A18" s="236" t="s">
        <v>1383</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68"/>
      <c r="O18" s="3070"/>
      <c r="P18" s="77"/>
      <c r="Q18" s="3129"/>
      <c r="R18" s="3129"/>
      <c r="S18" s="3128"/>
      <c r="T18" s="77"/>
      <c r="U18" s="77"/>
      <c r="V18" s="77"/>
      <c r="W18" s="77"/>
      <c r="X18" s="77"/>
      <c r="Y18" s="77"/>
      <c r="Z18" s="1294" t="s">
        <v>1379</v>
      </c>
      <c r="AA18" s="1296">
        <v>18</v>
      </c>
    </row>
    <row r="19" spans="1:27" ht="13.5" customHeight="1">
      <c r="A19" s="236" t="s">
        <v>1384</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68"/>
      <c r="O19" s="3070"/>
      <c r="P19" s="77"/>
      <c r="Q19" s="77"/>
      <c r="R19" s="77"/>
      <c r="S19" s="77"/>
      <c r="T19" s="77"/>
      <c r="U19" s="77"/>
      <c r="V19" s="77"/>
      <c r="W19" s="77"/>
      <c r="X19" s="77"/>
      <c r="Y19" s="77"/>
      <c r="Z19" s="1294" t="s">
        <v>1379</v>
      </c>
      <c r="AA19" s="1296">
        <v>19</v>
      </c>
    </row>
    <row r="20" spans="1:27" ht="13.5" customHeight="1">
      <c r="A20" s="236" t="s">
        <v>1385</v>
      </c>
      <c r="B20" s="4555">
        <f>SUM(B15:B19)</f>
        <v>548670.24</v>
      </c>
      <c r="C20" s="4555">
        <f t="shared" ref="C20:K20" si="4">SUM(C15:C19)</f>
        <v>559643.64480000001</v>
      </c>
      <c r="D20" s="4555">
        <f t="shared" si="4"/>
        <v>570836.51769599994</v>
      </c>
      <c r="E20" s="4555">
        <f t="shared" si="4"/>
        <v>582253.24804991996</v>
      </c>
      <c r="F20" s="4555">
        <f t="shared" si="4"/>
        <v>593898.31301091844</v>
      </c>
      <c r="G20" s="4555">
        <f t="shared" si="4"/>
        <v>605776.27927113685</v>
      </c>
      <c r="H20" s="4555">
        <f t="shared" si="4"/>
        <v>617891.80485655949</v>
      </c>
      <c r="I20" s="4555">
        <f t="shared" si="4"/>
        <v>630249.64095369063</v>
      </c>
      <c r="J20" s="4555">
        <f t="shared" si="4"/>
        <v>642854.63377276447</v>
      </c>
      <c r="K20" s="4556">
        <f t="shared" si="4"/>
        <v>655711.72644821974</v>
      </c>
      <c r="L20" s="77"/>
      <c r="M20" s="77"/>
      <c r="N20" s="3068"/>
      <c r="O20" s="3070"/>
      <c r="P20" s="77"/>
      <c r="Q20" s="77"/>
      <c r="R20" s="77"/>
      <c r="S20" s="77"/>
      <c r="T20" s="77"/>
      <c r="U20" s="77"/>
      <c r="V20" s="77"/>
      <c r="W20" s="77"/>
      <c r="X20" s="77"/>
      <c r="Y20" s="77"/>
      <c r="Z20" s="1294" t="s">
        <v>1379</v>
      </c>
      <c r="AA20" s="1296">
        <v>20</v>
      </c>
    </row>
    <row r="21" spans="1:27" ht="13.5" customHeight="1">
      <c r="A21" s="236" t="s">
        <v>1386</v>
      </c>
      <c r="B21" s="4555">
        <f>-('Part V-Revenues &amp; Expenses'!$Q$232-'Part V-Revenues &amp; Expenses'!$Q$224)</f>
        <v>-275230</v>
      </c>
      <c r="C21" s="4555">
        <f t="shared" ref="C21:K21" si="5">$B$21*(1+$B$7)^(C14-1)</f>
        <v>-283486.90000000002</v>
      </c>
      <c r="D21" s="4555">
        <f t="shared" si="5"/>
        <v>-291991.50699999998</v>
      </c>
      <c r="E21" s="4555">
        <f t="shared" si="5"/>
        <v>-300751.25221000001</v>
      </c>
      <c r="F21" s="4555">
        <f t="shared" si="5"/>
        <v>-309773.78977629996</v>
      </c>
      <c r="G21" s="4555">
        <f t="shared" si="5"/>
        <v>-319067.00346958893</v>
      </c>
      <c r="H21" s="4555">
        <f t="shared" si="5"/>
        <v>-328639.01357367664</v>
      </c>
      <c r="I21" s="4555">
        <f t="shared" si="5"/>
        <v>-338498.18398088694</v>
      </c>
      <c r="J21" s="4555">
        <f t="shared" si="5"/>
        <v>-348653.12950031355</v>
      </c>
      <c r="K21" s="4556">
        <f t="shared" si="5"/>
        <v>-359112.72338532296</v>
      </c>
      <c r="L21" s="77"/>
      <c r="M21" s="77"/>
      <c r="N21" s="3068"/>
      <c r="O21" s="3070"/>
      <c r="P21" s="77"/>
      <c r="Q21" s="58">
        <v>1</v>
      </c>
      <c r="R21" s="4557">
        <f>-B32</f>
        <v>30340</v>
      </c>
      <c r="S21" s="4557">
        <f>B33+R21</f>
        <v>30339.703491432359</v>
      </c>
      <c r="T21" s="77"/>
      <c r="U21" s="77"/>
      <c r="V21" s="77"/>
      <c r="W21" s="77"/>
      <c r="X21" s="77"/>
      <c r="Y21" s="77"/>
      <c r="Z21" s="1294" t="s">
        <v>1379</v>
      </c>
      <c r="AA21" s="1296">
        <v>21</v>
      </c>
    </row>
    <row r="22" spans="1:27" ht="13.5" customHeight="1">
      <c r="A22" s="236" t="s">
        <v>1387</v>
      </c>
      <c r="B22" s="4555">
        <f>IF(AND('Part VI-Pro Forma'!$G$9="Yes",'Part VI-Pro Forma'!$G$10="Yes"),"Choose One!",IF('Part VI-Pro Forma'!$G$9="Yes",ROUND((-$K$9*(1+'Part VI-Pro Forma'!$B$7)^('Part VI-Pro Forma'!B14-1)),),IF('Part VI-Pro Forma'!$G$10="Yes",ROUND((-(SUM(B15:B18)*'Part VI-Pro Forma'!$K$10)),),"Choose mgt fee")))</f>
        <v>-27434</v>
      </c>
      <c r="C22" s="4555">
        <f>IF(AND('Part VI-Pro Forma'!$G$9="Yes",'Part VI-Pro Forma'!$G$10="Yes"),"Choose One!",IF('Part VI-Pro Forma'!$G$9="Yes",ROUND((-$K$9*(1+'Part VI-Pro Forma'!$B$7)^('Part VI-Pro Forma'!C14-1)),),IF('Part VI-Pro Forma'!$G$10="Yes",ROUND((-(SUM(C15:C18)*'Part VI-Pro Forma'!$K$10)),),"Choose mgt fee")))</f>
        <v>-27982</v>
      </c>
      <c r="D22" s="4555">
        <f>IF(AND('Part VI-Pro Forma'!$G$9="Yes",'Part VI-Pro Forma'!$G$10="Yes"),"Choose One!",IF('Part VI-Pro Forma'!$G$9="Yes",ROUND((-$K$9*(1+'Part VI-Pro Forma'!$B$7)^('Part VI-Pro Forma'!D14-1)),),IF('Part VI-Pro Forma'!$G$10="Yes",ROUND((-(SUM(D15:D18)*'Part VI-Pro Forma'!$K$10)),),"Choose mgt fee")))</f>
        <v>-28542</v>
      </c>
      <c r="E22" s="4555">
        <f>IF(AND('Part VI-Pro Forma'!$G$9="Yes",'Part VI-Pro Forma'!$G$10="Yes"),"Choose One!",IF('Part VI-Pro Forma'!$G$9="Yes",ROUND((-$K$9*(1+'Part VI-Pro Forma'!$B$7)^('Part VI-Pro Forma'!E14-1)),),IF('Part VI-Pro Forma'!$G$10="Yes",ROUND((-(SUM(E15:E18)*'Part VI-Pro Forma'!$K$10)),),"Choose mgt fee")))</f>
        <v>-29113</v>
      </c>
      <c r="F22" s="4555">
        <f>IF(AND('Part VI-Pro Forma'!$G$9="Yes",'Part VI-Pro Forma'!$G$10="Yes"),"Choose One!",IF('Part VI-Pro Forma'!$G$9="Yes",ROUND((-$K$9*(1+'Part VI-Pro Forma'!$B$7)^('Part VI-Pro Forma'!F14-1)),),IF('Part VI-Pro Forma'!$G$10="Yes",ROUND((-(SUM(F15:F18)*'Part VI-Pro Forma'!$K$10)),),"Choose mgt fee")))</f>
        <v>-29695</v>
      </c>
      <c r="G22" s="4555">
        <f>IF(AND('Part VI-Pro Forma'!$G$9="Yes",'Part VI-Pro Forma'!$G$10="Yes"),"Choose One!",IF('Part VI-Pro Forma'!$G$9="Yes",ROUND((-$K$9*(1+'Part VI-Pro Forma'!$B$7)^('Part VI-Pro Forma'!G14-1)),),IF('Part VI-Pro Forma'!$G$10="Yes",ROUND((-(SUM(G15:G18)*'Part VI-Pro Forma'!$K$10)),),"Choose mgt fee")))</f>
        <v>-30289</v>
      </c>
      <c r="H22" s="4555">
        <f>IF(AND('Part VI-Pro Forma'!$G$9="Yes",'Part VI-Pro Forma'!$G$10="Yes"),"Choose One!",IF('Part VI-Pro Forma'!$G$9="Yes",ROUND((-$K$9*(1+'Part VI-Pro Forma'!$B$7)^('Part VI-Pro Forma'!H14-1)),),IF('Part VI-Pro Forma'!$G$10="Yes",ROUND((-(SUM(H15:H18)*'Part VI-Pro Forma'!$K$10)),),"Choose mgt fee")))</f>
        <v>-30895</v>
      </c>
      <c r="I22" s="4555">
        <f>IF(AND('Part VI-Pro Forma'!$G$9="Yes",'Part VI-Pro Forma'!$G$10="Yes"),"Choose One!",IF('Part VI-Pro Forma'!$G$9="Yes",ROUND((-$K$9*(1+'Part VI-Pro Forma'!$B$7)^('Part VI-Pro Forma'!I14-1)),),IF('Part VI-Pro Forma'!$G$10="Yes",ROUND((-(SUM(I15:I18)*'Part VI-Pro Forma'!$K$10)),),"Choose mgt fee")))</f>
        <v>-31512</v>
      </c>
      <c r="J22" s="4555">
        <f>IF(AND('Part VI-Pro Forma'!$G$9="Yes",'Part VI-Pro Forma'!$G$10="Yes"),"Choose One!",IF('Part VI-Pro Forma'!$G$9="Yes",ROUND((-$K$9*(1+'Part VI-Pro Forma'!$B$7)^('Part VI-Pro Forma'!J14-1)),),IF('Part VI-Pro Forma'!$G$10="Yes",ROUND((-(SUM(J15:J18)*'Part VI-Pro Forma'!$K$10)),),"Choose mgt fee")))</f>
        <v>-32143</v>
      </c>
      <c r="K22" s="4556">
        <f>IF(AND('Part VI-Pro Forma'!$G$9="Yes",'Part VI-Pro Forma'!$G$10="Yes"),"Choose One!",IF('Part VI-Pro Forma'!$G$9="Yes",ROUND((-$K$9*(1+'Part VI-Pro Forma'!$B$7)^('Part VI-Pro Forma'!K14-1)),),IF('Part VI-Pro Forma'!$G$10="Yes",ROUND((-(SUM(K15:K18)*'Part VI-Pro Forma'!$K$10)),),"Choose mgt fee")))</f>
        <v>-32786</v>
      </c>
      <c r="L22" s="77"/>
      <c r="M22" s="77"/>
      <c r="N22" s="3068"/>
      <c r="O22" s="3070"/>
      <c r="P22" s="77"/>
      <c r="Q22" s="58">
        <v>2</v>
      </c>
      <c r="R22" s="4557">
        <f>-SUM(B32:C32)</f>
        <v>62038</v>
      </c>
      <c r="S22" s="4557">
        <f>SUM(B33:C33)+R22</f>
        <v>62037.911782864714</v>
      </c>
      <c r="T22" s="77"/>
      <c r="U22" s="77"/>
      <c r="V22" s="77"/>
      <c r="W22" s="77"/>
      <c r="X22" s="77"/>
      <c r="Y22" s="77"/>
      <c r="Z22" s="1294" t="s">
        <v>1379</v>
      </c>
      <c r="AA22" s="1296">
        <v>22</v>
      </c>
    </row>
    <row r="23" spans="1:27" ht="13.5" customHeight="1">
      <c r="A23" s="236" t="s">
        <v>1388</v>
      </c>
      <c r="B23" s="4555">
        <f>-('Part V-Revenues &amp; Expenses'!$Q$238)</f>
        <v>-18000</v>
      </c>
      <c r="C23" s="4555">
        <f t="shared" ref="C23:K23" si="6">$B$23*(1+$B$8)^(C14-1)</f>
        <v>-18540</v>
      </c>
      <c r="D23" s="4555">
        <f t="shared" si="6"/>
        <v>-19096.2</v>
      </c>
      <c r="E23" s="4555">
        <f t="shared" si="6"/>
        <v>-19669.085999999999</v>
      </c>
      <c r="F23" s="4555">
        <f t="shared" si="6"/>
        <v>-20259.158579999999</v>
      </c>
      <c r="G23" s="4555">
        <f t="shared" si="6"/>
        <v>-20866.933337399998</v>
      </c>
      <c r="H23" s="4555">
        <f t="shared" si="6"/>
        <v>-21492.941337521999</v>
      </c>
      <c r="I23" s="4555">
        <f t="shared" si="6"/>
        <v>-22137.72957764766</v>
      </c>
      <c r="J23" s="4555">
        <f t="shared" si="6"/>
        <v>-22801.861464977086</v>
      </c>
      <c r="K23" s="4556">
        <f t="shared" si="6"/>
        <v>-23485.9173089264</v>
      </c>
      <c r="L23" s="77"/>
      <c r="M23" s="77"/>
      <c r="N23" s="3068"/>
      <c r="O23" s="3070"/>
      <c r="P23" s="77"/>
      <c r="Q23" s="58">
        <v>3</v>
      </c>
      <c r="R23" s="4557">
        <f>-SUM(B32:D32)</f>
        <v>95030</v>
      </c>
      <c r="S23" s="4557">
        <f>SUM(B33:D33)+R23</f>
        <v>95030.085970297019</v>
      </c>
      <c r="T23" s="77"/>
      <c r="U23" s="77"/>
      <c r="V23" s="77"/>
      <c r="W23" s="77"/>
      <c r="X23" s="77"/>
      <c r="Y23" s="77"/>
      <c r="Z23" s="1294" t="s">
        <v>1379</v>
      </c>
      <c r="AA23" s="1296">
        <v>23</v>
      </c>
    </row>
    <row r="24" spans="1:27" ht="13.5" customHeight="1">
      <c r="A24" s="236" t="s">
        <v>1389</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68"/>
      <c r="O24" s="3070"/>
      <c r="P24" s="77"/>
      <c r="Q24" s="58">
        <v>4</v>
      </c>
      <c r="R24" s="4557">
        <f>-SUM(B32:E32)</f>
        <v>129249</v>
      </c>
      <c r="S24" s="4557">
        <f>SUM(B33:E33)+R24</f>
        <v>129248.91630164933</v>
      </c>
      <c r="T24" s="77"/>
      <c r="U24" s="77"/>
      <c r="V24" s="77"/>
      <c r="W24" s="77"/>
      <c r="X24" s="77"/>
      <c r="Y24" s="77"/>
      <c r="Z24" s="1294" t="s">
        <v>1379</v>
      </c>
      <c r="AA24" s="1296">
        <v>24</v>
      </c>
    </row>
    <row r="25" spans="1:27" ht="13.5" customHeight="1">
      <c r="A25" s="236" t="s">
        <v>1390</v>
      </c>
      <c r="B25" s="4555">
        <f>SUM(B20:B24)</f>
        <v>228006.24</v>
      </c>
      <c r="C25" s="4555">
        <f t="shared" ref="C25:J25" si="7">SUM(C20:C24)</f>
        <v>229634.74479999999</v>
      </c>
      <c r="D25" s="4555">
        <f t="shared" si="7"/>
        <v>231206.81069599994</v>
      </c>
      <c r="E25" s="4555">
        <f t="shared" si="7"/>
        <v>232719.90983991994</v>
      </c>
      <c r="F25" s="4555">
        <f t="shared" si="7"/>
        <v>234170.36465461849</v>
      </c>
      <c r="G25" s="4555">
        <f t="shared" si="7"/>
        <v>235553.34246414792</v>
      </c>
      <c r="H25" s="4555">
        <f t="shared" si="7"/>
        <v>236864.84994536085</v>
      </c>
      <c r="I25" s="4555">
        <f t="shared" si="7"/>
        <v>238101.72739515602</v>
      </c>
      <c r="J25" s="4555">
        <f t="shared" si="7"/>
        <v>239256.64280747384</v>
      </c>
      <c r="K25" s="4559">
        <f>SUM(K20:K24)</f>
        <v>240327.08575397037</v>
      </c>
      <c r="L25" s="77"/>
      <c r="M25" s="77"/>
      <c r="N25" s="3068"/>
      <c r="O25" s="3070"/>
      <c r="P25" s="77"/>
      <c r="Q25" s="58">
        <v>5</v>
      </c>
      <c r="R25" s="4557">
        <f>-SUM(B32:F32)</f>
        <v>164623</v>
      </c>
      <c r="S25" s="4557">
        <f>SUM(B33:F33)+R25</f>
        <v>164623.16515770019</v>
      </c>
      <c r="T25" s="77"/>
      <c r="U25" s="77"/>
      <c r="V25" s="77"/>
      <c r="W25" s="77"/>
      <c r="X25" s="77"/>
      <c r="Y25" s="77"/>
      <c r="Z25" s="1294" t="s">
        <v>1379</v>
      </c>
      <c r="AA25" s="1296">
        <v>25</v>
      </c>
    </row>
    <row r="26" spans="1:27" ht="13.5" customHeight="1">
      <c r="A26" s="236" t="s">
        <v>407</v>
      </c>
      <c r="B26" s="4560">
        <f>IF('Part II-Sources of Funds'!$P$40="", 0,-'Part II-Sources of Funds'!$P$40)</f>
        <v>-188666.53650856763</v>
      </c>
      <c r="C26" s="4560">
        <f>IF('Part II-Sources of Funds'!$P$40="", 0,-'Part II-Sources of Funds'!$P$40)</f>
        <v>-188666.53650856763</v>
      </c>
      <c r="D26" s="4560">
        <f>IF('Part II-Sources of Funds'!$P$40="", 0,-'Part II-Sources of Funds'!$P$40)</f>
        <v>-188666.53650856763</v>
      </c>
      <c r="E26" s="4560">
        <f>IF('Part II-Sources of Funds'!$P$40="", 0,-'Part II-Sources of Funds'!$P$40)</f>
        <v>-188666.53650856763</v>
      </c>
      <c r="F26" s="4560">
        <f>IF('Part II-Sources of Funds'!$P$40="", 0,-'Part II-Sources of Funds'!$P$40)</f>
        <v>-188666.53650856763</v>
      </c>
      <c r="G26" s="4560">
        <f>IF('Part II-Sources of Funds'!$P$40="", 0,-'Part II-Sources of Funds'!$P$40)</f>
        <v>-188666.53650856763</v>
      </c>
      <c r="H26" s="4560">
        <f>IF('Part II-Sources of Funds'!$P$40="", 0,-'Part II-Sources of Funds'!$P$40)</f>
        <v>-188666.53650856763</v>
      </c>
      <c r="I26" s="4560">
        <f>IF('Part II-Sources of Funds'!$P$40="", 0,-'Part II-Sources of Funds'!$P$40)</f>
        <v>-188666.53650856763</v>
      </c>
      <c r="J26" s="4560">
        <f>IF('Part II-Sources of Funds'!$P$40="", 0,-'Part II-Sources of Funds'!$P$40)</f>
        <v>-188666.53650856763</v>
      </c>
      <c r="K26" s="4560">
        <f>IF('Part II-Sources of Funds'!$P$40="", 0,-'Part II-Sources of Funds'!$P$40)</f>
        <v>-188666.53650856763</v>
      </c>
      <c r="L26" s="77"/>
      <c r="M26" s="77"/>
      <c r="N26" s="3068"/>
      <c r="O26" s="3070"/>
      <c r="P26" s="77"/>
      <c r="Q26" s="58">
        <v>6</v>
      </c>
      <c r="R26" s="4557">
        <f>-SUM(B32:G32)</f>
        <v>201076</v>
      </c>
      <c r="S26" s="4557">
        <f>SUM(B33:G33)+R26</f>
        <v>201076.50444458047</v>
      </c>
      <c r="T26" s="77"/>
      <c r="U26" s="77"/>
      <c r="V26" s="77"/>
      <c r="W26" s="77"/>
      <c r="X26" s="77"/>
      <c r="Y26" s="77"/>
      <c r="Z26" s="1294" t="s">
        <v>1379</v>
      </c>
      <c r="AA26" s="1296">
        <v>26</v>
      </c>
    </row>
    <row r="27" spans="1:27" ht="13.5" customHeight="1">
      <c r="A27" s="236" t="s">
        <v>410</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68"/>
      <c r="O27" s="3070"/>
      <c r="P27" s="77"/>
      <c r="Q27" s="58">
        <v>7</v>
      </c>
      <c r="R27" s="4557">
        <f>-SUM(B32:H32)</f>
        <v>238528</v>
      </c>
      <c r="S27" s="4557">
        <f>SUM(B33:H33)+R27</f>
        <v>238528.34721261269</v>
      </c>
      <c r="T27" s="77"/>
      <c r="U27" s="77"/>
      <c r="V27" s="77"/>
      <c r="W27" s="77"/>
      <c r="X27" s="77"/>
      <c r="Y27" s="77"/>
      <c r="Z27" s="1294" t="s">
        <v>1379</v>
      </c>
      <c r="AA27" s="1296">
        <v>27</v>
      </c>
    </row>
    <row r="28" spans="1:27" ht="13.5" customHeight="1">
      <c r="A28" s="236" t="s">
        <v>412</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68"/>
      <c r="O28" s="3070"/>
      <c r="P28" s="77"/>
      <c r="Q28" s="58">
        <v>8</v>
      </c>
      <c r="R28" s="4557">
        <f>-SUM(B32:I32)</f>
        <v>276894</v>
      </c>
      <c r="S28" s="4557">
        <f>SUM(B33:I33)+R28</f>
        <v>276894.67331037729</v>
      </c>
      <c r="T28" s="77"/>
      <c r="U28" s="77"/>
      <c r="V28" s="77"/>
      <c r="W28" s="77"/>
      <c r="X28" s="77"/>
      <c r="Y28" s="77"/>
      <c r="Z28" s="1294" t="s">
        <v>1379</v>
      </c>
      <c r="AA28" s="1296">
        <v>28</v>
      </c>
    </row>
    <row r="29" spans="1:27" ht="13.5" customHeight="1">
      <c r="A29" s="236" t="s">
        <v>1391</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68"/>
      <c r="O29" s="3070"/>
      <c r="P29" s="77"/>
      <c r="Q29" s="58">
        <v>9</v>
      </c>
      <c r="R29" s="4557">
        <f>-SUM(B32:J32)</f>
        <v>316083</v>
      </c>
      <c r="S29" s="4557">
        <f>SUM(B33:J33)+R29</f>
        <v>316083.84887679492</v>
      </c>
      <c r="T29" s="77"/>
      <c r="U29" s="77"/>
      <c r="V29" s="77"/>
      <c r="W29" s="77"/>
      <c r="X29" s="77"/>
      <c r="Y29" s="77"/>
      <c r="Z29" s="1294" t="s">
        <v>1379</v>
      </c>
      <c r="AA29" s="1296">
        <v>29</v>
      </c>
    </row>
    <row r="30" spans="1:27" ht="13.5" customHeight="1">
      <c r="A30" s="236" t="s">
        <v>1392</v>
      </c>
      <c r="B30" s="4562"/>
      <c r="C30" s="4562"/>
      <c r="D30" s="4562"/>
      <c r="E30" s="4562"/>
      <c r="F30" s="4562"/>
      <c r="G30" s="4562"/>
      <c r="H30" s="4562"/>
      <c r="I30" s="4562"/>
      <c r="J30" s="4562"/>
      <c r="K30" s="4562"/>
      <c r="L30" s="77"/>
      <c r="M30" s="77"/>
      <c r="N30" s="3068"/>
      <c r="O30" s="3070"/>
      <c r="P30" s="77"/>
      <c r="Q30" s="58">
        <v>10</v>
      </c>
      <c r="R30" s="4557">
        <f>-SUM(B32:K32)</f>
        <v>339465</v>
      </c>
      <c r="S30" s="4557">
        <f>SUM(B33:K33)+R30</f>
        <v>356001.43946773442</v>
      </c>
      <c r="T30" s="77"/>
      <c r="U30" s="77"/>
      <c r="V30" s="77"/>
      <c r="W30" s="77"/>
      <c r="X30" s="77"/>
      <c r="Y30" s="77"/>
      <c r="Z30" s="1294" t="s">
        <v>1379</v>
      </c>
      <c r="AA30" s="1296">
        <v>30</v>
      </c>
    </row>
    <row r="31" spans="1:27" ht="13.5" customHeight="1">
      <c r="A31" s="236" t="s">
        <v>1393</v>
      </c>
      <c r="B31" s="4563">
        <f>-$G$6</f>
        <v>-9000</v>
      </c>
      <c r="C31" s="4563">
        <f>B31*1.03</f>
        <v>-9270</v>
      </c>
      <c r="D31" s="4563">
        <f t="shared" ref="D31:K31" si="8">C31*1.03</f>
        <v>-9548.1</v>
      </c>
      <c r="E31" s="4563">
        <f t="shared" si="8"/>
        <v>-9834.5430000000015</v>
      </c>
      <c r="F31" s="4563">
        <f t="shared" si="8"/>
        <v>-10129.579290000001</v>
      </c>
      <c r="G31" s="4563">
        <f t="shared" si="8"/>
        <v>-10433.466668700003</v>
      </c>
      <c r="H31" s="4563">
        <f t="shared" si="8"/>
        <v>-10746.470668761003</v>
      </c>
      <c r="I31" s="4563">
        <f t="shared" si="8"/>
        <v>-11068.864788823834</v>
      </c>
      <c r="J31" s="4563">
        <f t="shared" si="8"/>
        <v>-11400.930732488549</v>
      </c>
      <c r="K31" s="4563">
        <f t="shared" si="8"/>
        <v>-11742.958654463206</v>
      </c>
      <c r="L31" s="77"/>
      <c r="M31" s="77"/>
      <c r="N31" s="3068"/>
      <c r="O31" s="3070"/>
      <c r="P31" s="77"/>
      <c r="Q31" s="58">
        <v>11</v>
      </c>
      <c r="R31" s="4557">
        <f>-SUM(B32:K32)-B64</f>
        <v>339465</v>
      </c>
      <c r="S31" s="4557">
        <f>SUM(B33:K33)+B65+R31</f>
        <v>396548.01660717709</v>
      </c>
      <c r="T31" s="77"/>
      <c r="U31" s="77"/>
      <c r="V31" s="77"/>
      <c r="W31" s="77"/>
      <c r="X31" s="77"/>
      <c r="Y31" s="77"/>
      <c r="Z31" s="1294" t="s">
        <v>1379</v>
      </c>
      <c r="AA31" s="1296">
        <v>31</v>
      </c>
    </row>
    <row r="32" spans="1:27" ht="13.5" customHeight="1">
      <c r="A32" s="236" t="s">
        <v>1394</v>
      </c>
      <c r="B32" s="4564">
        <v>-30340</v>
      </c>
      <c r="C32" s="4564">
        <v>-31698</v>
      </c>
      <c r="D32" s="4564">
        <v>-32992</v>
      </c>
      <c r="E32" s="4564">
        <v>-34219</v>
      </c>
      <c r="F32" s="4564">
        <v>-35374</v>
      </c>
      <c r="G32" s="4564">
        <v>-36453</v>
      </c>
      <c r="H32" s="4564">
        <v>-37452</v>
      </c>
      <c r="I32" s="4564">
        <v>-38366</v>
      </c>
      <c r="J32" s="4564">
        <v>-39189</v>
      </c>
      <c r="K32" s="4564">
        <v>-23382</v>
      </c>
      <c r="L32" s="77"/>
      <c r="M32" s="77"/>
      <c r="N32" s="3068"/>
      <c r="O32" s="3070"/>
      <c r="P32" s="77"/>
      <c r="Q32" s="58">
        <v>12</v>
      </c>
      <c r="R32" s="4557">
        <f>-SUM(B32:K32) - SUM(B64:C64)</f>
        <v>339465</v>
      </c>
      <c r="S32" s="4557">
        <f>SUM(B33:K33) + SUM(B65:C65)+R32</f>
        <v>437616.95754628803</v>
      </c>
      <c r="T32" s="77"/>
      <c r="U32" s="77"/>
      <c r="V32" s="77"/>
      <c r="W32" s="77"/>
      <c r="X32" s="77"/>
      <c r="Y32" s="77"/>
      <c r="Z32" s="1294" t="s">
        <v>1379</v>
      </c>
      <c r="AA32" s="1296">
        <v>32</v>
      </c>
    </row>
    <row r="33" spans="1:27" ht="13.5" customHeight="1">
      <c r="A33" s="236" t="s">
        <v>453</v>
      </c>
      <c r="B33" s="4555">
        <f t="shared" ref="B33:K33" si="9">SUM(B25:B32)</f>
        <v>-0.29650856764055789</v>
      </c>
      <c r="C33" s="4555">
        <f t="shared" si="9"/>
        <v>0.20829143235459924</v>
      </c>
      <c r="D33" s="4555">
        <f t="shared" si="9"/>
        <v>0.17418743231246481</v>
      </c>
      <c r="E33" s="4555">
        <f t="shared" si="9"/>
        <v>-0.16966864769347012</v>
      </c>
      <c r="F33" s="4555">
        <f t="shared" si="9"/>
        <v>0.24885605085728457</v>
      </c>
      <c r="G33" s="4555">
        <f t="shared" si="9"/>
        <v>0.33928688029118348</v>
      </c>
      <c r="H33" s="4555">
        <f t="shared" si="9"/>
        <v>-0.15723196777980775</v>
      </c>
      <c r="I33" s="4555">
        <f t="shared" si="9"/>
        <v>0.3260977645550156</v>
      </c>
      <c r="J33" s="4555">
        <f t="shared" si="9"/>
        <v>0.17556641765986569</v>
      </c>
      <c r="K33" s="4556">
        <f t="shared" si="9"/>
        <v>16535.590590939537</v>
      </c>
      <c r="L33" s="77"/>
      <c r="M33" s="77"/>
      <c r="N33" s="3068"/>
      <c r="O33" s="3070"/>
      <c r="P33" s="77"/>
      <c r="Q33" s="58">
        <v>13</v>
      </c>
      <c r="R33" s="4557">
        <f>-SUM(B32:K32) - SUM(B64:D64)</f>
        <v>339465</v>
      </c>
      <c r="S33" s="4557">
        <f>SUM(B33:K33) + SUM(B65:D65)+R33</f>
        <v>479097.23800686229</v>
      </c>
      <c r="T33" s="77"/>
      <c r="U33" s="77"/>
      <c r="V33" s="77"/>
      <c r="W33" s="77"/>
      <c r="X33" s="77"/>
      <c r="Y33" s="77"/>
      <c r="Z33" s="1294" t="s">
        <v>1379</v>
      </c>
      <c r="AA33" s="1296">
        <v>33</v>
      </c>
    </row>
    <row r="34" spans="1:27" ht="13.5" customHeight="1">
      <c r="A34" s="236" t="str">
        <f>IF('Part II-Sources of Funds'!$E$40 = "Neither", "", "DCR Mortgage A")</f>
        <v>DCR Mortgage A</v>
      </c>
      <c r="B34" s="4565">
        <f t="shared" ref="B34:K34" si="10">IF(B26=0,"",-B25/B26)</f>
        <v>1.2085144733106705</v>
      </c>
      <c r="C34" s="4565">
        <f t="shared" si="10"/>
        <v>1.2171461301489039</v>
      </c>
      <c r="D34" s="4565">
        <f t="shared" si="10"/>
        <v>1.2254786406464853</v>
      </c>
      <c r="E34" s="4565">
        <f t="shared" si="10"/>
        <v>1.2334986063061151</v>
      </c>
      <c r="F34" s="4565">
        <f t="shared" si="10"/>
        <v>1.2411865346559985</v>
      </c>
      <c r="G34" s="4565">
        <f t="shared" si="10"/>
        <v>1.2485168107882825</v>
      </c>
      <c r="H34" s="4565">
        <f t="shared" si="10"/>
        <v>1.2554682686646155</v>
      </c>
      <c r="I34" s="4565">
        <f t="shared" si="10"/>
        <v>1.2620241607305038</v>
      </c>
      <c r="J34" s="4565">
        <f t="shared" si="10"/>
        <v>1.2681456247362066</v>
      </c>
      <c r="K34" s="4566">
        <f t="shared" si="10"/>
        <v>1.2738193545152441</v>
      </c>
      <c r="L34" s="77"/>
      <c r="M34" s="77"/>
      <c r="N34" s="3068"/>
      <c r="O34" s="3070"/>
      <c r="P34" s="77"/>
      <c r="Q34" s="58">
        <v>14</v>
      </c>
      <c r="R34" s="4557">
        <f>-SUM(B32:K32) - SUM(B64:E64)</f>
        <v>339465</v>
      </c>
      <c r="S34" s="4557">
        <f>SUM(B33:K33) + SUM(B65:E65)+R34</f>
        <v>520871.21767850406</v>
      </c>
      <c r="T34" s="77"/>
      <c r="U34" s="77"/>
      <c r="V34" s="77"/>
      <c r="W34" s="77"/>
      <c r="X34" s="77"/>
      <c r="Y34" s="77"/>
      <c r="Z34" s="1294" t="s">
        <v>1379</v>
      </c>
      <c r="AA34" s="1296">
        <v>34</v>
      </c>
    </row>
    <row r="35" spans="1:27" ht="13.5" customHeight="1">
      <c r="A35" s="236" t="str">
        <f>IF('Part II-Sources of Funds'!$E$40 = "Neither", "", "DCR Mortgage B")</f>
        <v>DCR Mortgage B</v>
      </c>
      <c r="B35" s="4565" t="str">
        <f t="shared" ref="B35:K35" si="11">IF(B27=0,"",-(B25+B26)/B27)</f>
        <v/>
      </c>
      <c r="C35" s="4565" t="str">
        <f t="shared" si="11"/>
        <v/>
      </c>
      <c r="D35" s="4565" t="str">
        <f t="shared" si="11"/>
        <v/>
      </c>
      <c r="E35" s="4565" t="str">
        <f t="shared" si="11"/>
        <v/>
      </c>
      <c r="F35" s="4565" t="str">
        <f t="shared" si="11"/>
        <v/>
      </c>
      <c r="G35" s="4565" t="str">
        <f t="shared" si="11"/>
        <v/>
      </c>
      <c r="H35" s="4565" t="str">
        <f t="shared" si="11"/>
        <v/>
      </c>
      <c r="I35" s="4565" t="str">
        <f t="shared" si="11"/>
        <v/>
      </c>
      <c r="J35" s="4565" t="str">
        <f t="shared" si="11"/>
        <v/>
      </c>
      <c r="K35" s="4566" t="str">
        <f t="shared" si="11"/>
        <v/>
      </c>
      <c r="L35" s="77"/>
      <c r="M35" s="77"/>
      <c r="N35" s="3068"/>
      <c r="O35" s="3070"/>
      <c r="P35" s="77"/>
      <c r="Q35" s="58">
        <v>15</v>
      </c>
      <c r="R35" s="4557">
        <f>-SUM(B32:K32) - SUM(B64:F64)</f>
        <v>339465</v>
      </c>
      <c r="S35" s="4557">
        <f>SUM(B33:K33) + SUM(B65:F65)+R35</f>
        <v>562815.41823158553</v>
      </c>
      <c r="T35" s="77"/>
      <c r="U35" s="77"/>
      <c r="V35" s="77"/>
      <c r="W35" s="77"/>
      <c r="X35" s="77"/>
      <c r="Y35" s="77"/>
      <c r="Z35" s="1294" t="s">
        <v>1379</v>
      </c>
      <c r="AA35" s="1296">
        <v>35</v>
      </c>
    </row>
    <row r="36" spans="1:27" ht="1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68"/>
      <c r="O36" s="3070"/>
      <c r="P36" s="77"/>
      <c r="Q36" s="58">
        <v>16</v>
      </c>
      <c r="R36" s="4557">
        <f>-SUM(B32:K32) - SUM(B64:G64)</f>
        <v>339465</v>
      </c>
      <c r="S36" s="4557">
        <f>SUM(B33:K33) + SUM(B65:G65)+R36</f>
        <v>604800.29360046994</v>
      </c>
      <c r="T36" s="77"/>
      <c r="U36" s="77"/>
      <c r="V36" s="77"/>
      <c r="W36" s="77"/>
      <c r="X36" s="77"/>
      <c r="Y36" s="77"/>
      <c r="Z36" s="1294" t="s">
        <v>1379</v>
      </c>
      <c r="AA36" s="1296">
        <v>36</v>
      </c>
    </row>
    <row r="37" spans="1:27" ht="13.5" customHeight="1">
      <c r="A37" s="236" t="s">
        <v>1395</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68"/>
      <c r="O37" s="3070"/>
      <c r="P37" s="77"/>
      <c r="Q37" s="58">
        <v>17</v>
      </c>
      <c r="R37" s="4557">
        <f>-SUM(B32:K32) - SUM(B64:H64)</f>
        <v>339465</v>
      </c>
      <c r="S37" s="4557">
        <f>SUM(B33:K33) + SUM(B65:H65)+R37</f>
        <v>646689.99228371121</v>
      </c>
      <c r="T37" s="77"/>
      <c r="U37" s="77"/>
      <c r="V37" s="77"/>
      <c r="W37" s="77"/>
      <c r="X37" s="77"/>
      <c r="Y37" s="77"/>
      <c r="Z37" s="1294" t="s">
        <v>1379</v>
      </c>
      <c r="AA37" s="1296">
        <v>37</v>
      </c>
    </row>
    <row r="38" spans="1:27" ht="13.5" customHeight="1">
      <c r="A38" s="236" t="s">
        <v>1396</v>
      </c>
      <c r="B38" s="4565">
        <f t="shared" ref="B38:K38" si="14">IF(AND(B26=0,B27=0,B28=0,B29=0),"",-B25/(B26+B27+B28+B29))</f>
        <v>1.2085144733106705</v>
      </c>
      <c r="C38" s="4565">
        <f t="shared" si="14"/>
        <v>1.2171461301489039</v>
      </c>
      <c r="D38" s="4565">
        <f t="shared" si="14"/>
        <v>1.2254786406464853</v>
      </c>
      <c r="E38" s="4565">
        <f t="shared" si="14"/>
        <v>1.2334986063061151</v>
      </c>
      <c r="F38" s="4565">
        <f t="shared" si="14"/>
        <v>1.2411865346559985</v>
      </c>
      <c r="G38" s="4565">
        <f t="shared" si="14"/>
        <v>1.2485168107882825</v>
      </c>
      <c r="H38" s="4565">
        <f t="shared" si="14"/>
        <v>1.2554682686646155</v>
      </c>
      <c r="I38" s="4565">
        <f t="shared" si="14"/>
        <v>1.2620241607305038</v>
      </c>
      <c r="J38" s="4565">
        <f t="shared" si="14"/>
        <v>1.2681456247362066</v>
      </c>
      <c r="K38" s="4566">
        <f t="shared" si="14"/>
        <v>1.2738193545152441</v>
      </c>
      <c r="L38" s="77"/>
      <c r="M38" s="77"/>
      <c r="N38" s="3068"/>
      <c r="O38" s="3070"/>
      <c r="P38" s="77"/>
      <c r="Q38" s="58">
        <v>18</v>
      </c>
      <c r="R38" s="4557">
        <f>-SUM(B32:K32) - SUM(B64:I64)</f>
        <v>339465</v>
      </c>
      <c r="S38" s="4557">
        <f>SUM(B33:K33) + SUM(B65:I65)+R38</f>
        <v>688340.1113999004</v>
      </c>
      <c r="T38" s="77"/>
      <c r="U38" s="77"/>
      <c r="V38" s="77"/>
      <c r="W38" s="77"/>
      <c r="X38" s="77"/>
      <c r="Y38" s="77"/>
      <c r="Z38" s="1294" t="s">
        <v>1379</v>
      </c>
      <c r="AA38" s="1296">
        <v>38</v>
      </c>
    </row>
    <row r="39" spans="1:27" ht="13.5" customHeight="1">
      <c r="A39" s="236" t="s">
        <v>1397</v>
      </c>
      <c r="B39" s="4567">
        <f t="shared" ref="B39:K39" si="15">IF(OR(B22="Choose mgt fee",B22="Choose One!"),"",(B15+B16+B17+B18+B19) / -(B21+B22+B23))</f>
        <v>1.711044083526682</v>
      </c>
      <c r="C39" s="4567">
        <f t="shared" si="15"/>
        <v>1.695844096325887</v>
      </c>
      <c r="D39" s="4567">
        <f t="shared" si="15"/>
        <v>1.6807614467482372</v>
      </c>
      <c r="E39" s="4567">
        <f t="shared" si="15"/>
        <v>1.6658017545098991</v>
      </c>
      <c r="F39" s="4567">
        <f t="shared" si="15"/>
        <v>1.6509651688855702</v>
      </c>
      <c r="G39" s="4567">
        <f t="shared" si="15"/>
        <v>1.6362472960095142</v>
      </c>
      <c r="H39" s="4567">
        <f t="shared" si="15"/>
        <v>1.6216485392760838</v>
      </c>
      <c r="I39" s="4567">
        <f t="shared" si="15"/>
        <v>1.6071732608099556</v>
      </c>
      <c r="J39" s="4567">
        <f t="shared" si="15"/>
        <v>1.5928093007481048</v>
      </c>
      <c r="K39" s="4568">
        <f t="shared" si="15"/>
        <v>1.5785651711924202</v>
      </c>
      <c r="L39" s="77"/>
      <c r="M39" s="77"/>
      <c r="N39" s="3068"/>
      <c r="O39" s="3070"/>
      <c r="P39" s="77"/>
      <c r="Q39" s="58">
        <v>19</v>
      </c>
      <c r="R39" s="4557">
        <f>-SUM(B32:K32) - SUM(B64:J64)</f>
        <v>339465</v>
      </c>
      <c r="S39" s="4557">
        <f>SUM(B33:K33) + SUM(B65:J65)+R39</f>
        <v>729601.44222956977</v>
      </c>
      <c r="T39" s="77"/>
      <c r="U39" s="77"/>
      <c r="V39" s="77"/>
      <c r="W39" s="77"/>
      <c r="X39" s="77"/>
      <c r="Y39" s="77"/>
      <c r="Z39" s="1294" t="s">
        <v>1379</v>
      </c>
      <c r="AA39" s="1296">
        <v>39</v>
      </c>
    </row>
    <row r="40" spans="1:27" ht="13.5" customHeight="1">
      <c r="A40" s="236" t="s">
        <v>1398</v>
      </c>
      <c r="B40" s="4569">
        <f>IF('Part II-Sources of Funds'!$I$40="","",-FV('Part II-Sources of Funds'!$K$40/12,12,B26/12,'Part II-Sources of Funds'!$I$40))</f>
        <v>2518055.0591509864</v>
      </c>
      <c r="C40" s="4569">
        <f>IF('Part II-Sources of Funds'!$I$40="","",-FV('Part II-Sources of Funds'!$K$40/12,12,C26/12,B40))</f>
        <v>2505246.6175621748</v>
      </c>
      <c r="D40" s="4569">
        <f>IF('Part II-Sources of Funds'!$I$40="","",-FV('Part II-Sources of Funds'!$K$40/12,12,D26/12,C40))</f>
        <v>2491512.2526952652</v>
      </c>
      <c r="E40" s="4569">
        <f>IF('Part II-Sources of Funds'!$I$40="","",-FV('Part II-Sources of Funds'!$K$40/12,12,E26/12,D40))</f>
        <v>2476785.0294816177</v>
      </c>
      <c r="F40" s="4569">
        <f>IF('Part II-Sources of Funds'!$I$40="","",-FV('Part II-Sources of Funds'!$K$40/12,12,F26/12,E40))</f>
        <v>2460993.1741110682</v>
      </c>
      <c r="G40" s="4569">
        <f>IF('Part II-Sources of Funds'!$I$40="","",-FV('Part II-Sources of Funds'!$K$40/12,12,G26/12,F40))</f>
        <v>2444059.7242389116</v>
      </c>
      <c r="H40" s="4569">
        <f>IF('Part II-Sources of Funds'!$I$40="","",-FV('Part II-Sources of Funds'!$K$40/12,12,H26/12,G40))</f>
        <v>2425902.1539063216</v>
      </c>
      <c r="I40" s="4569">
        <f>IF('Part II-Sources of Funds'!$I$40="","",-FV('Part II-Sources of Funds'!$K$40/12,12,I26/12,H40))</f>
        <v>2406431.9713462358</v>
      </c>
      <c r="J40" s="4569">
        <f>IF('Part II-Sources of Funds'!$I$40="","",-FV('Part II-Sources of Funds'!$K$40/12,12,J26/12,I40))</f>
        <v>2385554.2877145959</v>
      </c>
      <c r="K40" s="4569">
        <f>IF('Part II-Sources of Funds'!$I$40="","",-FV('Part II-Sources of Funds'!$K$40/12,12,K26/12,J40))</f>
        <v>2363167.3546451339</v>
      </c>
      <c r="L40" s="77"/>
      <c r="M40" s="77"/>
      <c r="N40" s="3068"/>
      <c r="O40" s="3070"/>
      <c r="P40" s="77"/>
      <c r="Q40" s="58">
        <v>20</v>
      </c>
      <c r="R40" s="4557">
        <f>-SUM(B32:K32) - SUM(B64:K64)</f>
        <v>339465</v>
      </c>
      <c r="S40" s="4557">
        <f>SUM(B33:K33) + SUM(B65:K65)+R40</f>
        <v>770316.70696501853</v>
      </c>
      <c r="T40" s="77"/>
      <c r="U40" s="77"/>
      <c r="V40" s="77"/>
      <c r="W40" s="77"/>
      <c r="X40" s="77"/>
      <c r="Y40" s="77"/>
      <c r="Z40" s="1294" t="s">
        <v>1379</v>
      </c>
      <c r="AA40" s="1296">
        <v>40</v>
      </c>
    </row>
    <row r="41" spans="1:27" ht="13.5" customHeight="1">
      <c r="A41" s="236" t="s">
        <v>1399</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68"/>
      <c r="O41" s="3070"/>
      <c r="P41" s="77"/>
      <c r="Q41" s="77"/>
      <c r="R41" s="77"/>
      <c r="S41" s="77"/>
      <c r="T41" s="77"/>
      <c r="U41" s="77"/>
      <c r="V41" s="77"/>
      <c r="W41" s="77"/>
      <c r="X41" s="77"/>
      <c r="Y41" s="77"/>
      <c r="Z41" s="1294" t="s">
        <v>1379</v>
      </c>
      <c r="AA41" s="1296">
        <v>41</v>
      </c>
    </row>
    <row r="42" spans="1:27" ht="13.5" customHeight="1">
      <c r="A42" s="236" t="s">
        <v>1400</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68"/>
      <c r="O42" s="3070"/>
      <c r="P42" s="77"/>
      <c r="Q42" s="77"/>
      <c r="R42" s="77"/>
      <c r="S42" s="77"/>
      <c r="T42" s="77"/>
      <c r="U42" s="77"/>
      <c r="V42" s="77"/>
      <c r="W42" s="77"/>
      <c r="X42" s="77"/>
      <c r="Y42" s="77"/>
      <c r="Z42" s="1294" t="s">
        <v>1379</v>
      </c>
      <c r="AA42" s="1296">
        <v>42</v>
      </c>
    </row>
    <row r="43" spans="1:27" ht="13.5" customHeight="1">
      <c r="A43" s="236" t="s">
        <v>1401</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68"/>
      <c r="O43" s="3070"/>
      <c r="P43" s="77"/>
      <c r="Q43" s="77"/>
      <c r="R43" s="77"/>
      <c r="S43" s="77"/>
      <c r="T43" s="77"/>
      <c r="U43" s="77"/>
      <c r="V43" s="77"/>
      <c r="W43" s="77"/>
      <c r="X43" s="77"/>
      <c r="Y43" s="77"/>
      <c r="Z43" s="1294" t="s">
        <v>1379</v>
      </c>
      <c r="AA43" s="1296">
        <v>43</v>
      </c>
    </row>
    <row r="44" spans="1:27" ht="13.5" customHeight="1">
      <c r="A44" s="236" t="s">
        <v>1402</v>
      </c>
      <c r="B44" s="4564">
        <f>IF('Part II-Sources of Funds'!$I$45="","",-FV('Part II-Sources of Funds'!$K$45/12,12,B32/12,'Part II-Sources of Funds'!$I$45))</f>
        <v>309125</v>
      </c>
      <c r="C44" s="4564">
        <f>IF('Part II-Sources of Funds'!$I$45="","",IF(-FV('Part II-Sources of Funds'!$K$45/12,12,C32/12,B44)&gt;0,-FV('Part II-Sources of Funds'!$K$45/12,12,C32/12,B44),0))</f>
        <v>277427</v>
      </c>
      <c r="D44" s="4564">
        <f>IF('Part II-Sources of Funds'!$I$45="","",IF(-FV('Part II-Sources of Funds'!$K$45/12,12,D32/12,C44)&gt;0,-FV('Part II-Sources of Funds'!$K$45/12,12,D32/12,C44),0))</f>
        <v>244435</v>
      </c>
      <c r="E44" s="4564">
        <f>IF('Part II-Sources of Funds'!$I$45="","",IF(-FV('Part II-Sources of Funds'!$K$45/12,12,E32/12,D44)&gt;0,-FV('Part II-Sources of Funds'!$K$45/12,12,E32/12,D44),0))</f>
        <v>210216</v>
      </c>
      <c r="F44" s="4564">
        <f>IF('Part II-Sources of Funds'!$I$45="","",IF(-FV('Part II-Sources of Funds'!$K$45/12,12,F32/12,E44)&gt;0,-FV('Part II-Sources of Funds'!$K$45/12,12,F32/12,E44),0))</f>
        <v>174842</v>
      </c>
      <c r="G44" s="4564">
        <f>IF('Part II-Sources of Funds'!$I$45="","",IF(-FV('Part II-Sources of Funds'!$K$45/12,12,G32/12,F44)&gt;0,-FV('Part II-Sources of Funds'!$K$45/12,12,G32/12,F44),0))</f>
        <v>138389</v>
      </c>
      <c r="H44" s="4564">
        <f>IF('Part II-Sources of Funds'!$I$45="","",IF(-FV('Part II-Sources of Funds'!$K$45/12,12,H32/12,G44)&gt;0,-FV('Part II-Sources of Funds'!$K$45/12,12,H32/12,G44),0))</f>
        <v>100937</v>
      </c>
      <c r="I44" s="4564">
        <f>IF('Part II-Sources of Funds'!$I$45="","",IF(-FV('Part II-Sources of Funds'!$K$45/12,12,I32/12,H44)&gt;0,-FV('Part II-Sources of Funds'!$K$45/12,12,I32/12,H44),0))</f>
        <v>62571</v>
      </c>
      <c r="J44" s="4564">
        <f>IF('Part II-Sources of Funds'!$I$45="","",IF(-FV('Part II-Sources of Funds'!$K$45/12,12,J32/12,I44)&gt;0,-FV('Part II-Sources of Funds'!$K$45/12,12,J32/12,I44),0))</f>
        <v>23382</v>
      </c>
      <c r="K44" s="4564">
        <f>IF('Part II-Sources of Funds'!$I$45="","",IF(-FV('Part II-Sources of Funds'!$K$45/12,12,K32/12,J44)&gt;0,-FV('Part II-Sources of Funds'!$K$45/12,12,K32/12,J44),0))</f>
        <v>0</v>
      </c>
      <c r="L44" s="77"/>
      <c r="M44" s="77"/>
      <c r="N44" s="3055"/>
      <c r="O44" s="3057"/>
      <c r="P44" s="77"/>
      <c r="Q44" s="77"/>
      <c r="R44" s="77"/>
      <c r="S44" s="77"/>
      <c r="T44" s="77"/>
      <c r="U44" s="77"/>
      <c r="V44" s="77"/>
      <c r="W44" s="77"/>
      <c r="X44" s="77"/>
      <c r="Y44" s="77"/>
      <c r="Z44" s="1294" t="s">
        <v>1379</v>
      </c>
      <c r="AA44" s="1296">
        <v>44</v>
      </c>
    </row>
    <row r="45" spans="1:27" ht="4.5"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85" customHeight="1">
      <c r="A46" s="6" t="s">
        <v>494</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1" t="s">
        <v>1269</v>
      </c>
      <c r="O46" s="2821"/>
      <c r="P46" s="77"/>
      <c r="Q46" s="77"/>
      <c r="R46" s="77"/>
      <c r="S46" s="77"/>
      <c r="T46" s="77"/>
      <c r="U46" s="77"/>
      <c r="V46" s="77"/>
      <c r="W46" s="77"/>
      <c r="X46" s="77"/>
      <c r="Y46" s="77"/>
      <c r="AA46" s="1296">
        <v>46</v>
      </c>
    </row>
    <row r="47" spans="1:27" ht="13.5" customHeight="1">
      <c r="A47" s="4552" t="s">
        <v>1377</v>
      </c>
      <c r="B47" s="4553">
        <f t="shared" ref="B47:K47" si="17">$B$15*(1+$B$6)^(B46-1)</f>
        <v>705066.37252496753</v>
      </c>
      <c r="C47" s="4553">
        <f t="shared" si="17"/>
        <v>719167.6999754667</v>
      </c>
      <c r="D47" s="4553">
        <f t="shared" si="17"/>
        <v>733551.05397497618</v>
      </c>
      <c r="E47" s="4553">
        <f t="shared" si="17"/>
        <v>748222.07505447569</v>
      </c>
      <c r="F47" s="4553">
        <f t="shared" si="17"/>
        <v>763186.51655556529</v>
      </c>
      <c r="G47" s="4553">
        <f t="shared" si="17"/>
        <v>778450.24688667629</v>
      </c>
      <c r="H47" s="4553">
        <f t="shared" si="17"/>
        <v>794019.25182441005</v>
      </c>
      <c r="I47" s="4553">
        <f t="shared" si="17"/>
        <v>809899.63686089823</v>
      </c>
      <c r="J47" s="4553">
        <f t="shared" si="17"/>
        <v>826097.62959811615</v>
      </c>
      <c r="K47" s="4554">
        <f t="shared" si="17"/>
        <v>842619.58219007845</v>
      </c>
      <c r="L47" s="77"/>
      <c r="M47" s="77"/>
      <c r="N47" s="3123"/>
      <c r="O47" s="3125"/>
      <c r="P47" s="77"/>
      <c r="Q47" s="77"/>
      <c r="R47" s="77"/>
      <c r="S47" s="77"/>
      <c r="T47" s="77"/>
      <c r="U47" s="77"/>
      <c r="V47" s="77"/>
      <c r="W47" s="77"/>
      <c r="X47" s="77"/>
      <c r="Y47" s="77"/>
      <c r="Z47" s="1294" t="s">
        <v>1403</v>
      </c>
      <c r="AA47" s="1296">
        <v>47</v>
      </c>
    </row>
    <row r="48" spans="1:27" ht="13.5" customHeight="1">
      <c r="A48" s="236" t="s">
        <v>1260</v>
      </c>
      <c r="B48" s="4555">
        <f t="shared" ref="B48:K48" si="18">$B$16*(1+$B$6)^(B46-1)</f>
        <v>14101.32745049935</v>
      </c>
      <c r="C48" s="4555">
        <f t="shared" si="18"/>
        <v>14383.353999509334</v>
      </c>
      <c r="D48" s="4555">
        <f t="shared" si="18"/>
        <v>14671.021079499524</v>
      </c>
      <c r="E48" s="4555">
        <f t="shared" si="18"/>
        <v>14964.441501089514</v>
      </c>
      <c r="F48" s="4555">
        <f t="shared" si="18"/>
        <v>15263.730331111305</v>
      </c>
      <c r="G48" s="4555">
        <f t="shared" si="18"/>
        <v>15569.004937733527</v>
      </c>
      <c r="H48" s="4555">
        <f t="shared" si="18"/>
        <v>15880.3850364882</v>
      </c>
      <c r="I48" s="4555">
        <f t="shared" si="18"/>
        <v>16197.992737217965</v>
      </c>
      <c r="J48" s="4555">
        <f t="shared" si="18"/>
        <v>16521.952591962323</v>
      </c>
      <c r="K48" s="4556">
        <f t="shared" si="18"/>
        <v>16852.391643801569</v>
      </c>
      <c r="L48" s="77"/>
      <c r="M48" s="77"/>
      <c r="N48" s="3068"/>
      <c r="O48" s="3070"/>
      <c r="P48" s="77"/>
      <c r="Q48" s="77"/>
      <c r="R48" s="77"/>
      <c r="S48" s="77"/>
      <c r="T48" s="77"/>
      <c r="U48" s="77"/>
      <c r="V48" s="77"/>
      <c r="W48" s="77"/>
      <c r="X48" s="77"/>
      <c r="Y48" s="77"/>
      <c r="Z48" s="1294" t="s">
        <v>1403</v>
      </c>
      <c r="AA48" s="1296">
        <v>48</v>
      </c>
    </row>
    <row r="49" spans="1:27" ht="13.5" customHeight="1">
      <c r="A49" s="236" t="s">
        <v>1380</v>
      </c>
      <c r="B49" s="4555">
        <f t="shared" ref="B49:K49" si="19">-(B47+B48)*$B$9</f>
        <v>-50341.738998282694</v>
      </c>
      <c r="C49" s="4555">
        <f t="shared" si="19"/>
        <v>-51348.573778248327</v>
      </c>
      <c r="D49" s="4555">
        <f t="shared" si="19"/>
        <v>-52375.545253813303</v>
      </c>
      <c r="E49" s="4555">
        <f t="shared" si="19"/>
        <v>-53423.056158889565</v>
      </c>
      <c r="F49" s="4555">
        <f t="shared" si="19"/>
        <v>-54491.517282067369</v>
      </c>
      <c r="G49" s="4555">
        <f t="shared" si="19"/>
        <v>-55581.347627708696</v>
      </c>
      <c r="H49" s="4555">
        <f t="shared" si="19"/>
        <v>-56692.974580262882</v>
      </c>
      <c r="I49" s="4555">
        <f t="shared" si="19"/>
        <v>-57826.834071868136</v>
      </c>
      <c r="J49" s="4555">
        <f t="shared" si="19"/>
        <v>-58983.370753305499</v>
      </c>
      <c r="K49" s="4556">
        <f t="shared" si="19"/>
        <v>-60163.038168371611</v>
      </c>
      <c r="L49" s="77"/>
      <c r="M49" s="77"/>
      <c r="N49" s="3068"/>
      <c r="O49" s="3070"/>
      <c r="P49" s="77"/>
      <c r="Q49" s="77"/>
      <c r="R49" s="77"/>
      <c r="S49" s="77"/>
      <c r="T49" s="77"/>
      <c r="U49" s="77"/>
      <c r="V49" s="77"/>
      <c r="W49" s="77"/>
      <c r="X49" s="77"/>
      <c r="Y49" s="77"/>
      <c r="Z49" s="1294" t="s">
        <v>1403</v>
      </c>
      <c r="AA49" s="1296">
        <v>49</v>
      </c>
    </row>
    <row r="50" spans="1:27" ht="13.5" customHeight="1">
      <c r="A50" s="236" t="s">
        <v>1383</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68"/>
      <c r="O50" s="3070"/>
      <c r="P50" s="77"/>
      <c r="Q50" s="77"/>
      <c r="R50" s="77"/>
      <c r="S50" s="77"/>
      <c r="T50" s="77"/>
      <c r="U50" s="77"/>
      <c r="V50" s="77"/>
      <c r="W50" s="77"/>
      <c r="X50" s="77"/>
      <c r="Y50" s="77"/>
      <c r="Z50" s="1294" t="s">
        <v>1403</v>
      </c>
      <c r="AA50" s="1296">
        <v>50</v>
      </c>
    </row>
    <row r="51" spans="1:27" ht="13.5" customHeight="1">
      <c r="A51" s="236" t="s">
        <v>1384</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68"/>
      <c r="O51" s="3070"/>
      <c r="P51" s="77"/>
      <c r="Q51" s="77"/>
      <c r="R51" s="77"/>
      <c r="S51" s="77"/>
      <c r="T51" s="77"/>
      <c r="U51" s="77"/>
      <c r="V51" s="77"/>
      <c r="W51" s="77"/>
      <c r="X51" s="77"/>
      <c r="Y51" s="77"/>
      <c r="Z51" s="1294" t="s">
        <v>1403</v>
      </c>
      <c r="AA51" s="1296">
        <v>51</v>
      </c>
    </row>
    <row r="52" spans="1:27" ht="13.5" customHeight="1">
      <c r="A52" s="236" t="s">
        <v>1385</v>
      </c>
      <c r="B52" s="4555">
        <f t="shared" ref="B52:K52" si="20">SUM(B47:B51)</f>
        <v>668825.96097718424</v>
      </c>
      <c r="C52" s="4555">
        <f t="shared" si="20"/>
        <v>682202.48019672779</v>
      </c>
      <c r="D52" s="4555">
        <f t="shared" si="20"/>
        <v>695846.52980066242</v>
      </c>
      <c r="E52" s="4555">
        <f t="shared" si="20"/>
        <v>709763.46039667563</v>
      </c>
      <c r="F52" s="4555">
        <f t="shared" si="20"/>
        <v>723958.72960460931</v>
      </c>
      <c r="G52" s="4555">
        <f t="shared" si="20"/>
        <v>738437.90419670113</v>
      </c>
      <c r="H52" s="4555">
        <f t="shared" si="20"/>
        <v>753206.66228063533</v>
      </c>
      <c r="I52" s="4555">
        <f t="shared" si="20"/>
        <v>768270.79552624805</v>
      </c>
      <c r="J52" s="4555">
        <f t="shared" si="20"/>
        <v>783636.21143677295</v>
      </c>
      <c r="K52" s="4556">
        <f t="shared" si="20"/>
        <v>799308.93566550838</v>
      </c>
      <c r="L52" s="77"/>
      <c r="M52" s="77"/>
      <c r="N52" s="3068"/>
      <c r="O52" s="3070"/>
      <c r="P52" s="77"/>
      <c r="Q52" s="77"/>
      <c r="R52" s="77"/>
      <c r="S52" s="77"/>
      <c r="T52" s="77"/>
      <c r="U52" s="77"/>
      <c r="V52" s="77"/>
      <c r="W52" s="77"/>
      <c r="X52" s="77"/>
      <c r="Y52" s="77"/>
      <c r="Z52" s="1294" t="s">
        <v>1403</v>
      </c>
      <c r="AA52" s="1296">
        <v>52</v>
      </c>
    </row>
    <row r="53" spans="1:27" ht="13.5" customHeight="1">
      <c r="A53" s="236" t="s">
        <v>1386</v>
      </c>
      <c r="B53" s="4555">
        <f t="shared" ref="B53:K53" si="21">$B$21*(1+$B$7)^(B46-1)</f>
        <v>-369886.10508688266</v>
      </c>
      <c r="C53" s="4555">
        <f t="shared" si="21"/>
        <v>-380982.68823948916</v>
      </c>
      <c r="D53" s="4555">
        <f t="shared" si="21"/>
        <v>-392412.16888667375</v>
      </c>
      <c r="E53" s="4555">
        <f t="shared" si="21"/>
        <v>-404184.53395327396</v>
      </c>
      <c r="F53" s="4555">
        <f t="shared" si="21"/>
        <v>-416310.0699718722</v>
      </c>
      <c r="G53" s="4555">
        <f t="shared" si="21"/>
        <v>-428799.3720710284</v>
      </c>
      <c r="H53" s="4555">
        <f t="shared" si="21"/>
        <v>-441663.35323315917</v>
      </c>
      <c r="I53" s="4555">
        <f t="shared" si="21"/>
        <v>-454913.25383015396</v>
      </c>
      <c r="J53" s="4555">
        <f t="shared" si="21"/>
        <v>-468560.65144505858</v>
      </c>
      <c r="K53" s="4556">
        <f t="shared" si="21"/>
        <v>-482617.47098841029</v>
      </c>
      <c r="L53" s="77"/>
      <c r="M53" s="77"/>
      <c r="N53" s="3068"/>
      <c r="O53" s="3070"/>
      <c r="P53" s="77"/>
      <c r="Q53" s="77"/>
      <c r="R53" s="77"/>
      <c r="S53" s="77"/>
      <c r="T53" s="77"/>
      <c r="U53" s="77"/>
      <c r="V53" s="77"/>
      <c r="W53" s="77"/>
      <c r="X53" s="77"/>
      <c r="Y53" s="77"/>
      <c r="Z53" s="1294" t="s">
        <v>1403</v>
      </c>
      <c r="AA53" s="1296">
        <v>53</v>
      </c>
    </row>
    <row r="54" spans="1:27" ht="13.5" customHeight="1">
      <c r="A54" s="236" t="s">
        <v>1387</v>
      </c>
      <c r="B54" s="4555">
        <f>IF(AND('Part VI-Pro Forma'!$G$9="Yes",'Part VI-Pro Forma'!$G$10="Yes"),"Choose One!",IF('Part VI-Pro Forma'!$G$9="Yes",ROUND((-$K$9*(1+'Part VI-Pro Forma'!$B$7)^('Part VI-Pro Forma'!B46-1)),),IF('Part VI-Pro Forma'!$G$10="Yes",ROUND((-(SUM(B47:B50)*'Part VI-Pro Forma'!$K$10)),),"Choose mgt fee")))</f>
        <v>-33441</v>
      </c>
      <c r="C54" s="4555">
        <f>IF(AND('Part VI-Pro Forma'!$G$9="Yes",'Part VI-Pro Forma'!$G$10="Yes"),"Choose One!",IF('Part VI-Pro Forma'!$G$9="Yes",ROUND((-$K$9*(1+'Part VI-Pro Forma'!$B$7)^('Part VI-Pro Forma'!C46-1)),),IF('Part VI-Pro Forma'!$G$10="Yes",ROUND((-(SUM(C47:C50)*'Part VI-Pro Forma'!$K$10)),),"Choose mgt fee")))</f>
        <v>-34110</v>
      </c>
      <c r="D54" s="4555">
        <f>IF(AND('Part VI-Pro Forma'!$G$9="Yes",'Part VI-Pro Forma'!$G$10="Yes"),"Choose One!",IF('Part VI-Pro Forma'!$G$9="Yes",ROUND((-$K$9*(1+'Part VI-Pro Forma'!$B$7)^('Part VI-Pro Forma'!D46-1)),),IF('Part VI-Pro Forma'!$G$10="Yes",ROUND((-(SUM(D47:D50)*'Part VI-Pro Forma'!$K$10)),),"Choose mgt fee")))</f>
        <v>-34792</v>
      </c>
      <c r="E54" s="4555">
        <f>IF(AND('Part VI-Pro Forma'!$G$9="Yes",'Part VI-Pro Forma'!$G$10="Yes"),"Choose One!",IF('Part VI-Pro Forma'!$G$9="Yes",ROUND((-$K$9*(1+'Part VI-Pro Forma'!$B$7)^('Part VI-Pro Forma'!E46-1)),),IF('Part VI-Pro Forma'!$G$10="Yes",ROUND((-(SUM(E47:E50)*'Part VI-Pro Forma'!$K$10)),),"Choose mgt fee")))</f>
        <v>-35488</v>
      </c>
      <c r="F54" s="4555">
        <f>IF(AND('Part VI-Pro Forma'!$G$9="Yes",'Part VI-Pro Forma'!$G$10="Yes"),"Choose One!",IF('Part VI-Pro Forma'!$G$9="Yes",ROUND((-$K$9*(1+'Part VI-Pro Forma'!$B$7)^('Part VI-Pro Forma'!F46-1)),),IF('Part VI-Pro Forma'!$G$10="Yes",ROUND((-(SUM(F47:F50)*'Part VI-Pro Forma'!$K$10)),),"Choose mgt fee")))</f>
        <v>-36198</v>
      </c>
      <c r="G54" s="4555">
        <f>IF(AND('Part VI-Pro Forma'!$G$9="Yes",'Part VI-Pro Forma'!$G$10="Yes"),"Choose One!",IF('Part VI-Pro Forma'!$G$9="Yes",ROUND((-$K$9*(1+'Part VI-Pro Forma'!$B$7)^('Part VI-Pro Forma'!G46-1)),),IF('Part VI-Pro Forma'!$G$10="Yes",ROUND((-(SUM(G47:G50)*'Part VI-Pro Forma'!$K$10)),),"Choose mgt fee")))</f>
        <v>-36922</v>
      </c>
      <c r="H54" s="4555">
        <f>IF(AND('Part VI-Pro Forma'!$G$9="Yes",'Part VI-Pro Forma'!$G$10="Yes"),"Choose One!",IF('Part VI-Pro Forma'!$G$9="Yes",ROUND((-$K$9*(1+'Part VI-Pro Forma'!$B$7)^('Part VI-Pro Forma'!H46-1)),),IF('Part VI-Pro Forma'!$G$10="Yes",ROUND((-(SUM(H47:H50)*'Part VI-Pro Forma'!$K$10)),),"Choose mgt fee")))</f>
        <v>-37660</v>
      </c>
      <c r="I54" s="4555">
        <f>IF(AND('Part VI-Pro Forma'!$G$9="Yes",'Part VI-Pro Forma'!$G$10="Yes"),"Choose One!",IF('Part VI-Pro Forma'!$G$9="Yes",ROUND((-$K$9*(1+'Part VI-Pro Forma'!$B$7)^('Part VI-Pro Forma'!I46-1)),),IF('Part VI-Pro Forma'!$G$10="Yes",ROUND((-(SUM(I47:I50)*'Part VI-Pro Forma'!$K$10)),),"Choose mgt fee")))</f>
        <v>-38414</v>
      </c>
      <c r="J54" s="4555">
        <f>IF(AND('Part VI-Pro Forma'!$G$9="Yes",'Part VI-Pro Forma'!$G$10="Yes"),"Choose One!",IF('Part VI-Pro Forma'!$G$9="Yes",ROUND((-$K$9*(1+'Part VI-Pro Forma'!$B$7)^('Part VI-Pro Forma'!J46-1)),),IF('Part VI-Pro Forma'!$G$10="Yes",ROUND((-(SUM(J47:J50)*'Part VI-Pro Forma'!$K$10)),),"Choose mgt fee")))</f>
        <v>-39182</v>
      </c>
      <c r="K54" s="4556">
        <f>IF(AND('Part VI-Pro Forma'!$G$9="Yes",'Part VI-Pro Forma'!$G$10="Yes"),"Choose One!",IF('Part VI-Pro Forma'!$G$9="Yes",ROUND((-$K$9*(1+'Part VI-Pro Forma'!$B$7)^('Part VI-Pro Forma'!K46-1)),),IF('Part VI-Pro Forma'!$G$10="Yes",ROUND((-(SUM(K47:K50)*'Part VI-Pro Forma'!$K$10)),),"Choose mgt fee")))</f>
        <v>-39965</v>
      </c>
      <c r="L54" s="77"/>
      <c r="M54" s="77"/>
      <c r="N54" s="3068"/>
      <c r="O54" s="3070"/>
      <c r="P54" s="77"/>
      <c r="Q54" s="77"/>
      <c r="R54" s="77"/>
      <c r="S54" s="77"/>
      <c r="T54" s="77"/>
      <c r="U54" s="77"/>
      <c r="V54" s="77"/>
      <c r="W54" s="77"/>
      <c r="X54" s="77"/>
      <c r="Y54" s="77"/>
      <c r="Z54" s="1294" t="s">
        <v>1403</v>
      </c>
      <c r="AA54" s="1296">
        <v>54</v>
      </c>
    </row>
    <row r="55" spans="1:27" ht="13.5" customHeight="1">
      <c r="A55" s="236" t="s">
        <v>1388</v>
      </c>
      <c r="B55" s="4555">
        <f t="shared" ref="B55:K55" si="22">$B$23*(1+$B$8)^(B46-1)</f>
        <v>-24190.494828194191</v>
      </c>
      <c r="C55" s="4555">
        <f t="shared" si="22"/>
        <v>-24916.209673040019</v>
      </c>
      <c r="D55" s="4555">
        <f t="shared" si="22"/>
        <v>-25663.695963231214</v>
      </c>
      <c r="E55" s="4555">
        <f t="shared" si="22"/>
        <v>-26433.606842128149</v>
      </c>
      <c r="F55" s="4555">
        <f t="shared" si="22"/>
        <v>-27226.615047391999</v>
      </c>
      <c r="G55" s="4555">
        <f t="shared" si="22"/>
        <v>-28043.413498813759</v>
      </c>
      <c r="H55" s="4555">
        <f t="shared" si="22"/>
        <v>-28884.715903778168</v>
      </c>
      <c r="I55" s="4555">
        <f t="shared" si="22"/>
        <v>-29751.257380891511</v>
      </c>
      <c r="J55" s="4555">
        <f t="shared" si="22"/>
        <v>-30643.795102318258</v>
      </c>
      <c r="K55" s="4556">
        <f t="shared" si="22"/>
        <v>-31563.108955387805</v>
      </c>
      <c r="L55" s="77"/>
      <c r="M55" s="77"/>
      <c r="N55" s="3068"/>
      <c r="O55" s="3070"/>
      <c r="P55" s="77"/>
      <c r="Q55" s="58"/>
      <c r="R55" s="4557"/>
      <c r="S55" s="4557"/>
      <c r="T55" s="77"/>
      <c r="U55" s="77"/>
      <c r="V55" s="77"/>
      <c r="W55" s="77"/>
      <c r="X55" s="77"/>
      <c r="Y55" s="77"/>
      <c r="Z55" s="1294" t="s">
        <v>1403</v>
      </c>
      <c r="AA55" s="1296">
        <v>55</v>
      </c>
    </row>
    <row r="56" spans="1:27" ht="13.5" customHeight="1">
      <c r="A56" s="236" t="s">
        <v>1389</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68"/>
      <c r="O56" s="3070"/>
      <c r="P56" s="77"/>
      <c r="Q56" s="77"/>
      <c r="R56" s="77"/>
      <c r="S56" s="77"/>
      <c r="T56" s="77"/>
      <c r="U56" s="77"/>
      <c r="V56" s="77"/>
      <c r="W56" s="77"/>
      <c r="X56" s="77"/>
      <c r="Y56" s="77"/>
      <c r="Z56" s="1294" t="s">
        <v>1403</v>
      </c>
      <c r="AA56" s="1296">
        <v>56</v>
      </c>
    </row>
    <row r="57" spans="1:27" ht="13.5" customHeight="1">
      <c r="A57" s="236" t="s">
        <v>1390</v>
      </c>
      <c r="B57" s="4555">
        <f t="shared" ref="B57:K57" si="23">SUM(B52:B56)</f>
        <v>241308.36106210737</v>
      </c>
      <c r="C57" s="4555">
        <f t="shared" si="23"/>
        <v>242193.58228419861</v>
      </c>
      <c r="D57" s="4555">
        <f t="shared" si="23"/>
        <v>242978.66495075746</v>
      </c>
      <c r="E57" s="4555">
        <f t="shared" si="23"/>
        <v>243657.31960127351</v>
      </c>
      <c r="F57" s="4555">
        <f t="shared" si="23"/>
        <v>244224.04458534511</v>
      </c>
      <c r="G57" s="4555">
        <f t="shared" si="23"/>
        <v>244673.11862685898</v>
      </c>
      <c r="H57" s="4555">
        <f t="shared" si="23"/>
        <v>244998.593143698</v>
      </c>
      <c r="I57" s="4555">
        <f t="shared" si="23"/>
        <v>245192.28431520259</v>
      </c>
      <c r="J57" s="4555">
        <f t="shared" si="23"/>
        <v>245249.76488939612</v>
      </c>
      <c r="K57" s="4559">
        <f t="shared" si="23"/>
        <v>245163.35572171028</v>
      </c>
      <c r="L57" s="77"/>
      <c r="M57" s="77"/>
      <c r="N57" s="3068"/>
      <c r="O57" s="3070"/>
      <c r="P57" s="77"/>
      <c r="Q57" s="77"/>
      <c r="R57" s="77"/>
      <c r="S57" s="77"/>
      <c r="T57" s="77"/>
      <c r="U57" s="77"/>
      <c r="V57" s="77"/>
      <c r="W57" s="77"/>
      <c r="X57" s="77"/>
      <c r="Y57" s="77"/>
      <c r="Z57" s="1294" t="s">
        <v>1403</v>
      </c>
      <c r="AA57" s="1296">
        <v>57</v>
      </c>
    </row>
    <row r="58" spans="1:27" ht="13.5" customHeight="1">
      <c r="A58" s="236" t="str">
        <f>$A26</f>
        <v>Mortgage A</v>
      </c>
      <c r="B58" s="4560">
        <f>IF('Part II-Sources of Funds'!$P$40="", 0,-'Part II-Sources of Funds'!$P$40)</f>
        <v>-188666.53650856763</v>
      </c>
      <c r="C58" s="4560">
        <f>IF('Part II-Sources of Funds'!$P$40="", 0,-'Part II-Sources of Funds'!$P$40)</f>
        <v>-188666.53650856763</v>
      </c>
      <c r="D58" s="4560">
        <f>IF('Part II-Sources of Funds'!$P$40="", 0,-'Part II-Sources of Funds'!$P$40)</f>
        <v>-188666.53650856763</v>
      </c>
      <c r="E58" s="4560">
        <f>IF('Part II-Sources of Funds'!$P$40="", 0,-'Part II-Sources of Funds'!$P$40)</f>
        <v>-188666.53650856763</v>
      </c>
      <c r="F58" s="4560">
        <f>IF('Part II-Sources of Funds'!$P$40="", 0,-'Part II-Sources of Funds'!$P$40)</f>
        <v>-188666.53650856763</v>
      </c>
      <c r="G58" s="4560">
        <f>IF('Part II-Sources of Funds'!$P$40="", 0,-'Part II-Sources of Funds'!$P$40)</f>
        <v>-188666.53650856763</v>
      </c>
      <c r="H58" s="4560">
        <f>IF('Part II-Sources of Funds'!$P$40="", 0,-'Part II-Sources of Funds'!$P$40)</f>
        <v>-188666.53650856763</v>
      </c>
      <c r="I58" s="4560">
        <f>IF('Part II-Sources of Funds'!$P$40="", 0,-'Part II-Sources of Funds'!$P$40)</f>
        <v>-188666.53650856763</v>
      </c>
      <c r="J58" s="4560">
        <f>IF('Part II-Sources of Funds'!$P$40="", 0,-'Part II-Sources of Funds'!$P$40)</f>
        <v>-188666.53650856763</v>
      </c>
      <c r="K58" s="4560">
        <f>IF('Part II-Sources of Funds'!$P$40="", 0,-'Part II-Sources of Funds'!$P$40)</f>
        <v>-188666.53650856763</v>
      </c>
      <c r="L58" s="77"/>
      <c r="M58" s="77"/>
      <c r="N58" s="3068"/>
      <c r="O58" s="3070"/>
      <c r="P58" s="77"/>
      <c r="Q58" s="77"/>
      <c r="R58" s="77"/>
      <c r="S58" s="77"/>
      <c r="T58" s="77"/>
      <c r="U58" s="77"/>
      <c r="V58" s="77"/>
      <c r="W58" s="77"/>
      <c r="X58" s="77"/>
      <c r="Y58" s="77"/>
      <c r="Z58" s="1294" t="s">
        <v>1403</v>
      </c>
      <c r="AA58" s="1296">
        <v>58</v>
      </c>
    </row>
    <row r="59" spans="1:27" ht="1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68"/>
      <c r="O59" s="3070"/>
      <c r="P59" s="77"/>
      <c r="Q59" s="77"/>
      <c r="R59" s="77"/>
      <c r="S59" s="77"/>
      <c r="T59" s="77"/>
      <c r="U59" s="77"/>
      <c r="V59" s="77"/>
      <c r="W59" s="77"/>
      <c r="X59" s="77"/>
      <c r="Y59" s="77"/>
      <c r="Z59" s="1294" t="s">
        <v>1403</v>
      </c>
      <c r="AA59" s="1296">
        <v>59</v>
      </c>
    </row>
    <row r="60" spans="1:27" ht="1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68"/>
      <c r="O60" s="3070"/>
      <c r="P60" s="77"/>
      <c r="Q60" s="77"/>
      <c r="R60" s="77"/>
      <c r="S60" s="77"/>
      <c r="T60" s="77"/>
      <c r="U60" s="77"/>
      <c r="V60" s="77"/>
      <c r="W60" s="77"/>
      <c r="X60" s="77"/>
      <c r="Y60" s="77"/>
      <c r="Z60" s="1294" t="s">
        <v>1403</v>
      </c>
      <c r="AA60" s="1296">
        <v>60</v>
      </c>
    </row>
    <row r="61" spans="1:27" ht="1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68"/>
      <c r="O61" s="3070"/>
      <c r="P61" s="77"/>
      <c r="Q61" s="77"/>
      <c r="R61" s="77"/>
      <c r="S61" s="77"/>
      <c r="T61" s="77"/>
      <c r="U61" s="77"/>
      <c r="V61" s="77"/>
      <c r="W61" s="77"/>
      <c r="X61" s="77"/>
      <c r="Y61" s="77"/>
      <c r="Z61" s="1294" t="s">
        <v>1403</v>
      </c>
      <c r="AA61" s="1296">
        <v>61</v>
      </c>
    </row>
    <row r="62" spans="1:27" ht="13.5" customHeight="1">
      <c r="A62" s="236" t="s">
        <v>1392</v>
      </c>
      <c r="B62" s="4562"/>
      <c r="C62" s="4562"/>
      <c r="D62" s="4562"/>
      <c r="E62" s="4562"/>
      <c r="F62" s="4562"/>
      <c r="G62" s="4562"/>
      <c r="H62" s="4562"/>
      <c r="I62" s="4562"/>
      <c r="J62" s="4562"/>
      <c r="K62" s="4562"/>
      <c r="L62" s="77"/>
      <c r="M62" s="77"/>
      <c r="N62" s="3068"/>
      <c r="O62" s="3070"/>
      <c r="P62" s="77"/>
      <c r="Q62" s="58"/>
      <c r="R62" s="4557"/>
      <c r="S62" s="77"/>
      <c r="T62" s="77"/>
      <c r="U62" s="77"/>
      <c r="V62" s="77"/>
      <c r="W62" s="77"/>
      <c r="X62" s="77"/>
      <c r="Y62" s="77"/>
      <c r="Z62" s="1294" t="s">
        <v>1403</v>
      </c>
      <c r="AA62" s="1296">
        <v>62</v>
      </c>
    </row>
    <row r="63" spans="1:27" ht="13.5" customHeight="1">
      <c r="A63" s="236" t="s">
        <v>1393</v>
      </c>
      <c r="B63" s="4561">
        <f>+K31*1.03</f>
        <v>-12095.247414097103</v>
      </c>
      <c r="C63" s="4561">
        <f>B63*1.03</f>
        <v>-12458.104836520017</v>
      </c>
      <c r="D63" s="4561">
        <f t="shared" ref="D63:K63" si="24">C63*1.03</f>
        <v>-12831.847981615618</v>
      </c>
      <c r="E63" s="4561">
        <f t="shared" si="24"/>
        <v>-13216.803421064087</v>
      </c>
      <c r="F63" s="4561">
        <f t="shared" si="24"/>
        <v>-13613.30752369601</v>
      </c>
      <c r="G63" s="4561">
        <f t="shared" si="24"/>
        <v>-14021.706749406891</v>
      </c>
      <c r="H63" s="4561">
        <f t="shared" si="24"/>
        <v>-14442.357951889098</v>
      </c>
      <c r="I63" s="4561">
        <f t="shared" si="24"/>
        <v>-14875.628690445772</v>
      </c>
      <c r="J63" s="4561">
        <f t="shared" si="24"/>
        <v>-15321.897551159145</v>
      </c>
      <c r="K63" s="4561">
        <f t="shared" si="24"/>
        <v>-15781.55447769392</v>
      </c>
      <c r="L63" s="77"/>
      <c r="M63" s="77"/>
      <c r="N63" s="3068"/>
      <c r="O63" s="3070"/>
      <c r="P63" s="77"/>
      <c r="Q63" s="77"/>
      <c r="R63" s="77"/>
      <c r="S63" s="77"/>
      <c r="T63" s="77"/>
      <c r="U63" s="77"/>
      <c r="V63" s="77"/>
      <c r="W63" s="77"/>
      <c r="X63" s="77"/>
      <c r="Y63" s="77"/>
      <c r="Z63" s="1294" t="s">
        <v>1403</v>
      </c>
      <c r="AA63" s="1296">
        <v>63</v>
      </c>
    </row>
    <row r="64" spans="1:27" ht="13.5" customHeight="1">
      <c r="A64" s="236" t="s">
        <v>1394</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68"/>
      <c r="O64" s="3070"/>
      <c r="P64" s="77"/>
      <c r="Q64" s="77"/>
      <c r="R64" s="77"/>
      <c r="S64" s="77"/>
      <c r="T64" s="77"/>
      <c r="U64" s="77"/>
      <c r="V64" s="77"/>
      <c r="W64" s="77"/>
      <c r="X64" s="77"/>
      <c r="Y64" s="77"/>
      <c r="Z64" s="1294" t="s">
        <v>1403</v>
      </c>
      <c r="AA64" s="1296">
        <v>64</v>
      </c>
    </row>
    <row r="65" spans="1:27" ht="13.5" customHeight="1">
      <c r="A65" s="236" t="s">
        <v>453</v>
      </c>
      <c r="B65" s="4555">
        <f t="shared" ref="B65:K65" si="25">SUM(B57:B64)</f>
        <v>40546.577139442641</v>
      </c>
      <c r="C65" s="4555">
        <f t="shared" si="25"/>
        <v>41068.940939110958</v>
      </c>
      <c r="D65" s="4555">
        <f t="shared" si="25"/>
        <v>41480.280460574213</v>
      </c>
      <c r="E65" s="4555">
        <f t="shared" si="25"/>
        <v>41773.979671641791</v>
      </c>
      <c r="F65" s="4555">
        <f t="shared" si="25"/>
        <v>41944.200553081464</v>
      </c>
      <c r="G65" s="4555">
        <f t="shared" si="25"/>
        <v>41984.875368884459</v>
      </c>
      <c r="H65" s="4555">
        <f t="shared" si="25"/>
        <v>41889.698683241273</v>
      </c>
      <c r="I65" s="4555">
        <f t="shared" si="25"/>
        <v>41650.119116189184</v>
      </c>
      <c r="J65" s="4555">
        <f t="shared" si="25"/>
        <v>41261.330829669343</v>
      </c>
      <c r="K65" s="4554">
        <f t="shared" si="25"/>
        <v>40715.264735448727</v>
      </c>
      <c r="L65" s="77"/>
      <c r="M65" s="77"/>
      <c r="N65" s="3068"/>
      <c r="O65" s="3070"/>
      <c r="P65" s="77"/>
      <c r="Q65" s="77"/>
      <c r="R65" s="77"/>
      <c r="S65" s="77"/>
      <c r="T65" s="77"/>
      <c r="U65" s="77"/>
      <c r="V65" s="77"/>
      <c r="W65" s="77"/>
      <c r="X65" s="77"/>
      <c r="Y65" s="77"/>
      <c r="Z65" s="1294" t="s">
        <v>1403</v>
      </c>
      <c r="AA65" s="1296">
        <v>65</v>
      </c>
    </row>
    <row r="66" spans="1:27" ht="13.5" customHeight="1">
      <c r="A66" s="236" t="str">
        <f>$A34</f>
        <v>DCR Mortgage A</v>
      </c>
      <c r="B66" s="4565">
        <f t="shared" ref="B66:K66" si="26">IF(B58=0,"",-B57/B58)</f>
        <v>1.2790204639769236</v>
      </c>
      <c r="C66" s="4565">
        <f t="shared" si="26"/>
        <v>1.283712452489953</v>
      </c>
      <c r="D66" s="4565">
        <f t="shared" si="26"/>
        <v>1.2878736709078424</v>
      </c>
      <c r="E66" s="4565">
        <f t="shared" si="26"/>
        <v>1.291470782844464</v>
      </c>
      <c r="F66" s="4565">
        <f t="shared" si="26"/>
        <v>1.2944746275885259</v>
      </c>
      <c r="G66" s="4565">
        <f t="shared" si="26"/>
        <v>1.2968548803340545</v>
      </c>
      <c r="H66" s="4565">
        <f t="shared" si="26"/>
        <v>1.2985800114721047</v>
      </c>
      <c r="I66" s="4565">
        <f t="shared" si="26"/>
        <v>1.2996066438314462</v>
      </c>
      <c r="J66" s="4565">
        <f t="shared" si="26"/>
        <v>1.2999113113960141</v>
      </c>
      <c r="K66" s="4566">
        <f t="shared" si="26"/>
        <v>1.2994533119580378</v>
      </c>
      <c r="L66" s="77"/>
      <c r="M66" s="77"/>
      <c r="N66" s="3068"/>
      <c r="O66" s="3070"/>
      <c r="P66" s="77"/>
      <c r="Q66" s="77"/>
      <c r="R66" s="77"/>
      <c r="S66" s="77"/>
      <c r="T66" s="77"/>
      <c r="U66" s="77"/>
      <c r="V66" s="77"/>
      <c r="W66" s="77"/>
      <c r="X66" s="77"/>
      <c r="Y66" s="77"/>
      <c r="Z66" s="1294" t="s">
        <v>1403</v>
      </c>
      <c r="AA66" s="1296">
        <v>66</v>
      </c>
    </row>
    <row r="67" spans="1:27" ht="13.5" customHeight="1">
      <c r="A67" s="236" t="str">
        <f>$A35</f>
        <v>DCR Mortgage B</v>
      </c>
      <c r="B67" s="4565" t="str">
        <f t="shared" ref="B67:K67" si="27">IF(B59=0,"",-(B57+B58)/B59)</f>
        <v/>
      </c>
      <c r="C67" s="4565" t="str">
        <f t="shared" si="27"/>
        <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68"/>
      <c r="O67" s="3070"/>
      <c r="P67" s="77"/>
      <c r="Q67" s="77"/>
      <c r="R67" s="77"/>
      <c r="S67" s="77"/>
      <c r="T67" s="77"/>
      <c r="U67" s="77"/>
      <c r="V67" s="77"/>
      <c r="W67" s="77"/>
      <c r="X67" s="77"/>
      <c r="Y67" s="77"/>
      <c r="Z67" s="1294" t="s">
        <v>1403</v>
      </c>
      <c r="AA67" s="1296">
        <v>67</v>
      </c>
    </row>
    <row r="68" spans="1:27" ht="1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68"/>
      <c r="O68" s="3070"/>
      <c r="P68" s="77"/>
      <c r="Q68" s="77"/>
      <c r="R68" s="77"/>
      <c r="S68" s="77"/>
      <c r="T68" s="77"/>
      <c r="U68" s="77"/>
      <c r="V68" s="77"/>
      <c r="W68" s="77"/>
      <c r="X68" s="77"/>
      <c r="Y68" s="77"/>
      <c r="Z68" s="1294" t="s">
        <v>1403</v>
      </c>
      <c r="AA68" s="1296">
        <v>68</v>
      </c>
    </row>
    <row r="69" spans="1:27" ht="1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68"/>
      <c r="O69" s="3070"/>
      <c r="P69" s="77"/>
      <c r="Q69" s="77"/>
      <c r="R69" s="77"/>
      <c r="S69" s="77"/>
      <c r="T69" s="77"/>
      <c r="U69" s="77"/>
      <c r="V69" s="77"/>
      <c r="W69" s="77"/>
      <c r="X69" s="77"/>
      <c r="Y69" s="77"/>
      <c r="Z69" s="1294" t="s">
        <v>1403</v>
      </c>
      <c r="AA69" s="1296">
        <v>69</v>
      </c>
    </row>
    <row r="70" spans="1:27" ht="13.5" customHeight="1">
      <c r="A70" s="236" t="s">
        <v>1396</v>
      </c>
      <c r="B70" s="4565">
        <f t="shared" ref="B70:K70" si="30">IF(AND(B58=0,B59=0,B60=0,B61=0),"",-B57/(B58+B59+B60+B61))</f>
        <v>1.2790204639769236</v>
      </c>
      <c r="C70" s="4565">
        <f t="shared" si="30"/>
        <v>1.283712452489953</v>
      </c>
      <c r="D70" s="4565">
        <f t="shared" si="30"/>
        <v>1.2878736709078424</v>
      </c>
      <c r="E70" s="4565">
        <f t="shared" si="30"/>
        <v>1.291470782844464</v>
      </c>
      <c r="F70" s="4565">
        <f t="shared" si="30"/>
        <v>1.2944746275885259</v>
      </c>
      <c r="G70" s="4565">
        <f t="shared" si="30"/>
        <v>1.2968548803340545</v>
      </c>
      <c r="H70" s="4565">
        <f t="shared" si="30"/>
        <v>1.2985800114721047</v>
      </c>
      <c r="I70" s="4565">
        <f t="shared" si="30"/>
        <v>1.2996066438314462</v>
      </c>
      <c r="J70" s="4565">
        <f t="shared" si="30"/>
        <v>1.2999113113960141</v>
      </c>
      <c r="K70" s="4566">
        <f t="shared" si="30"/>
        <v>1.2994533119580378</v>
      </c>
      <c r="L70" s="77"/>
      <c r="M70" s="77"/>
      <c r="N70" s="3068"/>
      <c r="O70" s="3070"/>
      <c r="P70" s="77"/>
      <c r="Q70" s="77"/>
      <c r="R70" s="77"/>
      <c r="S70" s="77"/>
      <c r="T70" s="77"/>
      <c r="U70" s="77"/>
      <c r="V70" s="77"/>
      <c r="W70" s="77"/>
      <c r="X70" s="77"/>
      <c r="Y70" s="77"/>
      <c r="Z70" s="1294" t="s">
        <v>1403</v>
      </c>
      <c r="AA70" s="1296">
        <v>70</v>
      </c>
    </row>
    <row r="71" spans="1:27" ht="13.5" customHeight="1">
      <c r="A71" s="236" t="s">
        <v>1397</v>
      </c>
      <c r="B71" s="4567">
        <f t="shared" ref="B71:K71" si="31">IF(OR(B54="Choose mgt fee",B54="Choose One!"),"",(B47+B48+B49+B50+B51) / -(B53+B54+B55))</f>
        <v>1.564440764801359</v>
      </c>
      <c r="C71" s="4567">
        <f t="shared" si="31"/>
        <v>1.5504288286741534</v>
      </c>
      <c r="D71" s="4567">
        <f t="shared" si="31"/>
        <v>1.5365332447054694</v>
      </c>
      <c r="E71" s="4567">
        <f t="shared" si="31"/>
        <v>1.5227507176487238</v>
      </c>
      <c r="F71" s="4567">
        <f t="shared" si="31"/>
        <v>1.5090814823521423</v>
      </c>
      <c r="G71" s="4567">
        <f t="shared" si="31"/>
        <v>1.495525654678852</v>
      </c>
      <c r="H71" s="4567">
        <f t="shared" si="31"/>
        <v>1.4820832411413027</v>
      </c>
      <c r="I71" s="4567">
        <f t="shared" si="31"/>
        <v>1.4687485321228868</v>
      </c>
      <c r="J71" s="4567">
        <f t="shared" si="31"/>
        <v>1.45552737529364</v>
      </c>
      <c r="K71" s="4568">
        <f t="shared" si="31"/>
        <v>1.4424168749060038</v>
      </c>
      <c r="L71" s="77"/>
      <c r="M71" s="77"/>
      <c r="N71" s="3068"/>
      <c r="O71" s="3070"/>
      <c r="P71" s="77"/>
      <c r="Q71" s="77"/>
      <c r="R71" s="77"/>
      <c r="S71" s="77"/>
      <c r="T71" s="77"/>
      <c r="U71" s="77"/>
      <c r="V71" s="77"/>
      <c r="W71" s="77"/>
      <c r="X71" s="77"/>
      <c r="Y71" s="77"/>
      <c r="Z71" s="1294" t="s">
        <v>1403</v>
      </c>
      <c r="AA71" s="1296">
        <v>71</v>
      </c>
    </row>
    <row r="72" spans="1:27" ht="13.5" customHeight="1">
      <c r="A72" s="236" t="s">
        <v>1398</v>
      </c>
      <c r="B72" s="4569">
        <f>IF('Part II-Sources of Funds'!$I$40="","",-FV('Part II-Sources of Funds'!$K$40/12,12,B58/12,K40))</f>
        <v>2339162.0683739572</v>
      </c>
      <c r="C72" s="4569">
        <f>IF('Part II-Sources of Funds'!$I$40="","",-FV('Part II-Sources of Funds'!$K$40/12,12,C58/12,B72))</f>
        <v>2313421.4380172603</v>
      </c>
      <c r="D72" s="4569">
        <f>IF('Part II-Sources of Funds'!$I$40="","",-FV('Part II-Sources of Funds'!$K$40/12,12,D58/12,C72))</f>
        <v>2285820.015410787</v>
      </c>
      <c r="E72" s="4569">
        <f>IF('Part II-Sources of Funds'!$I$40="","",-FV('Part II-Sources of Funds'!$K$40/12,12,E58/12,D72))</f>
        <v>2256223.2837323449</v>
      </c>
      <c r="F72" s="4569">
        <f>IF('Part II-Sources of Funds'!$I$40="","",-FV('Part II-Sources of Funds'!$K$40/12,12,F58/12,E72))</f>
        <v>2224487.0019277879</v>
      </c>
      <c r="G72" s="4569">
        <f>IF('Part II-Sources of Funds'!$I$40="","",-FV('Part II-Sources of Funds'!$K$40/12,12,G58/12,F72))</f>
        <v>2190456.5017455029</v>
      </c>
      <c r="H72" s="4569">
        <f>IF('Part II-Sources of Funds'!$I$40="","",-FV('Part II-Sources of Funds'!$K$40/12,12,H58/12,G72))</f>
        <v>2153965.9339534626</v>
      </c>
      <c r="I72" s="4569">
        <f>IF('Part II-Sources of Funds'!$I$40="","",-FV('Part II-Sources of Funds'!$K$40/12,12,I58/12,H72))</f>
        <v>2114837.4600652456</v>
      </c>
      <c r="J72" s="4569">
        <f>IF('Part II-Sources of Funds'!$I$40="","",-FV('Part II-Sources of Funds'!$K$40/12,12,J58/12,I72))</f>
        <v>2072880.3856358682</v>
      </c>
      <c r="K72" s="4569">
        <f>IF('Part II-Sources of Funds'!$I$40="","",-FV('Part II-Sources of Funds'!$K$40/12,12,K58/12,J72))</f>
        <v>2027890.2309035002</v>
      </c>
      <c r="L72" s="77"/>
      <c r="M72" s="77"/>
      <c r="N72" s="3068"/>
      <c r="O72" s="3070"/>
      <c r="P72" s="77"/>
      <c r="Q72" s="77"/>
      <c r="R72" s="77"/>
      <c r="S72" s="77"/>
      <c r="T72" s="77"/>
      <c r="U72" s="77"/>
      <c r="V72" s="77"/>
      <c r="W72" s="77"/>
      <c r="X72" s="77"/>
      <c r="Y72" s="77"/>
      <c r="Z72" s="1294" t="s">
        <v>1403</v>
      </c>
      <c r="AA72" s="1296">
        <v>72</v>
      </c>
    </row>
    <row r="73" spans="1:27" ht="13.5" customHeight="1">
      <c r="A73" s="236" t="s">
        <v>1399</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68"/>
      <c r="O73" s="3070"/>
      <c r="P73" s="77"/>
      <c r="Q73" s="77"/>
      <c r="R73" s="77"/>
      <c r="S73" s="77"/>
      <c r="T73" s="77"/>
      <c r="U73" s="77"/>
      <c r="V73" s="77"/>
      <c r="W73" s="77"/>
      <c r="X73" s="77"/>
      <c r="Y73" s="77"/>
      <c r="Z73" s="1294" t="s">
        <v>1403</v>
      </c>
      <c r="AA73" s="1296">
        <v>73</v>
      </c>
    </row>
    <row r="74" spans="1:27" ht="13.5" customHeight="1">
      <c r="A74" s="236" t="s">
        <v>1400</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68"/>
      <c r="O74" s="3070"/>
      <c r="P74" s="77"/>
      <c r="Q74" s="77"/>
      <c r="R74" s="77"/>
      <c r="S74" s="77"/>
      <c r="T74" s="77"/>
      <c r="U74" s="77"/>
      <c r="V74" s="77"/>
      <c r="W74" s="77"/>
      <c r="X74" s="77"/>
      <c r="Y74" s="77"/>
      <c r="Z74" s="1294" t="s">
        <v>1403</v>
      </c>
      <c r="AA74" s="1296">
        <v>74</v>
      </c>
    </row>
    <row r="75" spans="1:27" ht="13.5" customHeight="1">
      <c r="A75" s="236" t="s">
        <v>1401</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68"/>
      <c r="O75" s="3070"/>
      <c r="P75" s="77"/>
      <c r="Q75" s="77"/>
      <c r="R75" s="77"/>
      <c r="S75" s="77"/>
      <c r="T75" s="77"/>
      <c r="U75" s="77"/>
      <c r="V75" s="77"/>
      <c r="W75" s="77"/>
      <c r="X75" s="77"/>
      <c r="Y75" s="77"/>
      <c r="Z75" s="1294" t="s">
        <v>1403</v>
      </c>
      <c r="AA75" s="1296">
        <v>75</v>
      </c>
    </row>
    <row r="76" spans="1:27" ht="13.5" customHeight="1">
      <c r="A76" s="236" t="s">
        <v>1402</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5"/>
      <c r="O76" s="3057"/>
      <c r="P76" s="77"/>
      <c r="Q76" s="77"/>
      <c r="R76" s="77"/>
      <c r="S76" s="77"/>
      <c r="T76" s="77"/>
      <c r="U76" s="77"/>
      <c r="V76" s="77"/>
      <c r="W76" s="77"/>
      <c r="X76" s="77"/>
      <c r="Y76" s="77"/>
      <c r="Z76" s="1294" t="s">
        <v>1403</v>
      </c>
      <c r="AA76" s="1296">
        <v>76</v>
      </c>
    </row>
    <row r="77" spans="1:27" ht="4.5"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85" customHeight="1">
      <c r="A78" s="6" t="s">
        <v>494</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1" t="s">
        <v>1270</v>
      </c>
      <c r="O78" s="2821"/>
      <c r="P78" s="77"/>
      <c r="Q78" s="77"/>
      <c r="R78" s="77"/>
      <c r="S78" s="77"/>
      <c r="T78" s="77"/>
      <c r="U78" s="77"/>
      <c r="V78" s="77"/>
      <c r="W78" s="77"/>
      <c r="X78" s="77"/>
      <c r="Y78" s="77"/>
      <c r="AA78" s="1296">
        <v>78</v>
      </c>
    </row>
    <row r="79" spans="1:27" ht="13.5" customHeight="1">
      <c r="A79" s="4552" t="s">
        <v>1377</v>
      </c>
      <c r="B79" s="4553">
        <f t="shared" ref="B79:K79" si="33">$B$15*(1+$B$6)^(B78-1)</f>
        <v>859471.97383388004</v>
      </c>
      <c r="C79" s="4553">
        <f t="shared" si="33"/>
        <v>876661.4133105576</v>
      </c>
      <c r="D79" s="4553">
        <f t="shared" si="33"/>
        <v>894194.64157676883</v>
      </c>
      <c r="E79" s="4553">
        <f t="shared" si="33"/>
        <v>912078.53440830403</v>
      </c>
      <c r="F79" s="4553">
        <f t="shared" si="33"/>
        <v>930320.10509647022</v>
      </c>
      <c r="G79" s="4553">
        <f t="shared" si="33"/>
        <v>948926.50719839951</v>
      </c>
      <c r="H79" s="4553">
        <f t="shared" si="33"/>
        <v>967905.03734236769</v>
      </c>
      <c r="I79" s="4553">
        <f t="shared" si="33"/>
        <v>987263.1380892148</v>
      </c>
      <c r="J79" s="4553">
        <f t="shared" si="33"/>
        <v>1007008.4008509994</v>
      </c>
      <c r="K79" s="4554">
        <f t="shared" si="33"/>
        <v>1027148.5688680192</v>
      </c>
      <c r="L79" s="77"/>
      <c r="M79" s="77"/>
      <c r="N79" s="3123"/>
      <c r="O79" s="3125"/>
      <c r="P79" s="77"/>
      <c r="Q79" s="77"/>
      <c r="R79" s="77"/>
      <c r="S79" s="77"/>
      <c r="T79" s="77"/>
      <c r="U79" s="77"/>
      <c r="V79" s="77"/>
      <c r="W79" s="77"/>
      <c r="X79" s="77"/>
      <c r="Y79" s="77"/>
      <c r="Z79" s="1294" t="s">
        <v>1404</v>
      </c>
      <c r="AA79" s="1296">
        <v>79</v>
      </c>
    </row>
    <row r="80" spans="1:27" ht="13.5" customHeight="1">
      <c r="A80" s="236" t="s">
        <v>1260</v>
      </c>
      <c r="B80" s="4555">
        <f t="shared" ref="B80:K80" si="34">$B$16*(1+$B$6)^(B78-1)</f>
        <v>17189.439476677602</v>
      </c>
      <c r="C80" s="4555">
        <f t="shared" si="34"/>
        <v>17533.228266211154</v>
      </c>
      <c r="D80" s="4555">
        <f t="shared" si="34"/>
        <v>17883.892831535377</v>
      </c>
      <c r="E80" s="4555">
        <f t="shared" si="34"/>
        <v>18241.570688166081</v>
      </c>
      <c r="F80" s="4555">
        <f t="shared" si="34"/>
        <v>18606.402101929405</v>
      </c>
      <c r="G80" s="4555">
        <f t="shared" si="34"/>
        <v>18978.53014396799</v>
      </c>
      <c r="H80" s="4555">
        <f t="shared" si="34"/>
        <v>19358.100746847354</v>
      </c>
      <c r="I80" s="4555">
        <f t="shared" si="34"/>
        <v>19745.262761784295</v>
      </c>
      <c r="J80" s="4555">
        <f t="shared" si="34"/>
        <v>20140.168017019987</v>
      </c>
      <c r="K80" s="4556">
        <f t="shared" si="34"/>
        <v>20542.971377360383</v>
      </c>
      <c r="L80" s="77"/>
      <c r="M80" s="77"/>
      <c r="N80" s="3068"/>
      <c r="O80" s="3070"/>
      <c r="P80" s="77"/>
      <c r="Q80" s="77"/>
      <c r="R80" s="77"/>
      <c r="S80" s="77"/>
      <c r="T80" s="77"/>
      <c r="U80" s="77"/>
      <c r="V80" s="77"/>
      <c r="W80" s="77"/>
      <c r="X80" s="77"/>
      <c r="Y80" s="77"/>
      <c r="Z80" s="1294" t="s">
        <v>1404</v>
      </c>
      <c r="AA80" s="1296">
        <v>80</v>
      </c>
    </row>
    <row r="81" spans="1:27" ht="13.5" customHeight="1">
      <c r="A81" s="236" t="s">
        <v>1380</v>
      </c>
      <c r="B81" s="4555">
        <f t="shared" ref="B81:K81" si="35">-(B79+B80)*$B$9</f>
        <v>-61366.298931739038</v>
      </c>
      <c r="C81" s="4555">
        <f t="shared" si="35"/>
        <v>-62593.624910373816</v>
      </c>
      <c r="D81" s="4555">
        <f t="shared" si="35"/>
        <v>-63845.497408581301</v>
      </c>
      <c r="E81" s="4555">
        <f t="shared" si="35"/>
        <v>-65122.407356752912</v>
      </c>
      <c r="F81" s="4555">
        <f t="shared" si="35"/>
        <v>-66424.855503887986</v>
      </c>
      <c r="G81" s="4555">
        <f t="shared" si="35"/>
        <v>-67753.352613965733</v>
      </c>
      <c r="H81" s="4555">
        <f t="shared" si="35"/>
        <v>-69108.419666245056</v>
      </c>
      <c r="I81" s="4555">
        <f t="shared" si="35"/>
        <v>-70490.588059569942</v>
      </c>
      <c r="J81" s="4555">
        <f t="shared" si="35"/>
        <v>-71900.399820761362</v>
      </c>
      <c r="K81" s="4556">
        <f t="shared" si="35"/>
        <v>-73338.407817176572</v>
      </c>
      <c r="L81" s="77"/>
      <c r="M81" s="77"/>
      <c r="N81" s="3068"/>
      <c r="O81" s="3070"/>
      <c r="P81" s="77"/>
      <c r="Q81" s="77"/>
      <c r="R81" s="77"/>
      <c r="S81" s="77"/>
      <c r="T81" s="77"/>
      <c r="U81" s="77"/>
      <c r="V81" s="77"/>
      <c r="W81" s="77"/>
      <c r="X81" s="77"/>
      <c r="Y81" s="77"/>
      <c r="Z81" s="1294" t="s">
        <v>1404</v>
      </c>
      <c r="AA81" s="1296">
        <v>81</v>
      </c>
    </row>
    <row r="82" spans="1:27" ht="13.5" customHeight="1">
      <c r="A82" s="236" t="s">
        <v>1383</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68"/>
      <c r="O82" s="3070"/>
      <c r="P82" s="77"/>
      <c r="Q82" s="77"/>
      <c r="R82" s="77"/>
      <c r="S82" s="77"/>
      <c r="T82" s="77"/>
      <c r="U82" s="77"/>
      <c r="V82" s="77"/>
      <c r="W82" s="77"/>
      <c r="X82" s="77"/>
      <c r="Y82" s="77"/>
      <c r="Z82" s="1294" t="s">
        <v>1404</v>
      </c>
      <c r="AA82" s="1296">
        <v>82</v>
      </c>
    </row>
    <row r="83" spans="1:27" ht="13.5" customHeight="1">
      <c r="A83" s="236" t="s">
        <v>1384</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68"/>
      <c r="O83" s="3070"/>
      <c r="P83" s="77"/>
      <c r="Q83" s="77"/>
      <c r="R83" s="77"/>
      <c r="S83" s="77"/>
      <c r="T83" s="77"/>
      <c r="U83" s="77"/>
      <c r="V83" s="77"/>
      <c r="W83" s="77"/>
      <c r="X83" s="77"/>
      <c r="Y83" s="77"/>
      <c r="Z83" s="1294" t="s">
        <v>1404</v>
      </c>
      <c r="AA83" s="1296">
        <v>83</v>
      </c>
    </row>
    <row r="84" spans="1:27" ht="13.5" customHeight="1">
      <c r="A84" s="236" t="s">
        <v>1385</v>
      </c>
      <c r="B84" s="4555">
        <f t="shared" ref="B84:K84" si="36">SUM(B79:B83)</f>
        <v>815295.11437881854</v>
      </c>
      <c r="C84" s="4555">
        <f t="shared" si="36"/>
        <v>831601.01666639489</v>
      </c>
      <c r="D84" s="4555">
        <f t="shared" si="36"/>
        <v>848233.03699972294</v>
      </c>
      <c r="E84" s="4555">
        <f t="shared" si="36"/>
        <v>865197.6977397172</v>
      </c>
      <c r="F84" s="4555">
        <f t="shared" si="36"/>
        <v>882501.65169451165</v>
      </c>
      <c r="G84" s="4555">
        <f t="shared" si="36"/>
        <v>900151.68472840171</v>
      </c>
      <c r="H84" s="4555">
        <f t="shared" si="36"/>
        <v>918154.71842297004</v>
      </c>
      <c r="I84" s="4555">
        <f t="shared" si="36"/>
        <v>936517.81279142911</v>
      </c>
      <c r="J84" s="4555">
        <f t="shared" si="36"/>
        <v>955248.16904725798</v>
      </c>
      <c r="K84" s="4556">
        <f t="shared" si="36"/>
        <v>974353.13242820301</v>
      </c>
      <c r="L84" s="77"/>
      <c r="M84" s="77"/>
      <c r="N84" s="3068"/>
      <c r="O84" s="3070"/>
      <c r="P84" s="77"/>
      <c r="Q84" s="77"/>
      <c r="R84" s="77"/>
      <c r="S84" s="77"/>
      <c r="T84" s="77"/>
      <c r="U84" s="77"/>
      <c r="V84" s="77"/>
      <c r="W84" s="77"/>
      <c r="X84" s="77"/>
      <c r="Y84" s="77"/>
      <c r="Z84" s="1294" t="s">
        <v>1404</v>
      </c>
      <c r="AA84" s="1296">
        <v>84</v>
      </c>
    </row>
    <row r="85" spans="1:27" ht="13.5" customHeight="1">
      <c r="A85" s="236" t="s">
        <v>1386</v>
      </c>
      <c r="B85" s="4555">
        <f t="shared" ref="B85:K85" si="37">$B$21*(1+$B$7)^(B78-1)</f>
        <v>-497095.99511806259</v>
      </c>
      <c r="C85" s="4555">
        <f t="shared" si="37"/>
        <v>-512008.87497160444</v>
      </c>
      <c r="D85" s="4555">
        <f t="shared" si="37"/>
        <v>-527369.14122075262</v>
      </c>
      <c r="E85" s="4555">
        <f t="shared" si="37"/>
        <v>-543190.21545737516</v>
      </c>
      <c r="F85" s="4555">
        <f t="shared" si="37"/>
        <v>-559485.92192109639</v>
      </c>
      <c r="G85" s="4555">
        <f t="shared" si="37"/>
        <v>-576270.49957872927</v>
      </c>
      <c r="H85" s="4555">
        <f t="shared" si="37"/>
        <v>-593558.61456609122</v>
      </c>
      <c r="I85" s="4555">
        <f t="shared" si="37"/>
        <v>-611365.37300307385</v>
      </c>
      <c r="J85" s="4555">
        <f t="shared" si="37"/>
        <v>-629706.33419316611</v>
      </c>
      <c r="K85" s="4556">
        <f t="shared" si="37"/>
        <v>-648597.52421896101</v>
      </c>
      <c r="L85" s="77"/>
      <c r="M85" s="77"/>
      <c r="N85" s="3068"/>
      <c r="O85" s="3070"/>
      <c r="P85" s="77"/>
      <c r="Q85" s="77"/>
      <c r="R85" s="77"/>
      <c r="S85" s="77"/>
      <c r="T85" s="77"/>
      <c r="U85" s="77"/>
      <c r="V85" s="77"/>
      <c r="W85" s="77"/>
      <c r="X85" s="77"/>
      <c r="Y85" s="77"/>
      <c r="Z85" s="1294" t="s">
        <v>1404</v>
      </c>
      <c r="AA85" s="1296">
        <v>85</v>
      </c>
    </row>
    <row r="86" spans="1:27" ht="13.5" customHeight="1">
      <c r="A86" s="236" t="s">
        <v>1387</v>
      </c>
      <c r="B86" s="4555">
        <f>IF(AND('Part VI-Pro Forma'!$G$9="Yes",'Part VI-Pro Forma'!$G$10="Yes"),"Choose One!",IF('Part VI-Pro Forma'!$G$9="Yes",ROUND((-$K$9*(1+'Part VI-Pro Forma'!$B$7)^('Part VI-Pro Forma'!B78-1)),),IF('Part VI-Pro Forma'!$G$10="Yes",ROUND((-(SUM(B79:B82)*'Part VI-Pro Forma'!$K$10)),),"Choose mgt fee")))</f>
        <v>-40765</v>
      </c>
      <c r="C86" s="4555">
        <f>IF(AND('Part VI-Pro Forma'!$G$9="Yes",'Part VI-Pro Forma'!$G$10="Yes"),"Choose One!",IF('Part VI-Pro Forma'!$G$9="Yes",ROUND((-$K$9*(1+'Part VI-Pro Forma'!$B$7)^('Part VI-Pro Forma'!C78-1)),),IF('Part VI-Pro Forma'!$G$10="Yes",ROUND((-(SUM(C79:C82)*'Part VI-Pro Forma'!$K$10)),),"Choose mgt fee")))</f>
        <v>-41580</v>
      </c>
      <c r="D86" s="4555">
        <f>IF(AND('Part VI-Pro Forma'!$G$9="Yes",'Part VI-Pro Forma'!$G$10="Yes"),"Choose One!",IF('Part VI-Pro Forma'!$G$9="Yes",ROUND((-$K$9*(1+'Part VI-Pro Forma'!$B$7)^('Part VI-Pro Forma'!D78-1)),),IF('Part VI-Pro Forma'!$G$10="Yes",ROUND((-(SUM(D79:D82)*'Part VI-Pro Forma'!$K$10)),),"Choose mgt fee")))</f>
        <v>-42412</v>
      </c>
      <c r="E86" s="4555">
        <f>IF(AND('Part VI-Pro Forma'!$G$9="Yes",'Part VI-Pro Forma'!$G$10="Yes"),"Choose One!",IF('Part VI-Pro Forma'!$G$9="Yes",ROUND((-$K$9*(1+'Part VI-Pro Forma'!$B$7)^('Part VI-Pro Forma'!E78-1)),),IF('Part VI-Pro Forma'!$G$10="Yes",ROUND((-(SUM(E79:E82)*'Part VI-Pro Forma'!$K$10)),),"Choose mgt fee")))</f>
        <v>-43260</v>
      </c>
      <c r="F86" s="4555">
        <f>IF(AND('Part VI-Pro Forma'!$G$9="Yes",'Part VI-Pro Forma'!$G$10="Yes"),"Choose One!",IF('Part VI-Pro Forma'!$G$9="Yes",ROUND((-$K$9*(1+'Part VI-Pro Forma'!$B$7)^('Part VI-Pro Forma'!F78-1)),),IF('Part VI-Pro Forma'!$G$10="Yes",ROUND((-(SUM(F79:F82)*'Part VI-Pro Forma'!$K$10)),),"Choose mgt fee")))</f>
        <v>-44125</v>
      </c>
      <c r="G86" s="4555">
        <f>IF(AND('Part VI-Pro Forma'!$G$9="Yes",'Part VI-Pro Forma'!$G$10="Yes"),"Choose One!",IF('Part VI-Pro Forma'!$G$9="Yes",ROUND((-$K$9*(1+'Part VI-Pro Forma'!$B$7)^('Part VI-Pro Forma'!G78-1)),),IF('Part VI-Pro Forma'!$G$10="Yes",ROUND((-(SUM(G79:G82)*'Part VI-Pro Forma'!$K$10)),),"Choose mgt fee")))</f>
        <v>-45008</v>
      </c>
      <c r="H86" s="4555">
        <f>IF(AND('Part VI-Pro Forma'!$G$9="Yes",'Part VI-Pro Forma'!$G$10="Yes"),"Choose One!",IF('Part VI-Pro Forma'!$G$9="Yes",ROUND((-$K$9*(1+'Part VI-Pro Forma'!$B$7)^('Part VI-Pro Forma'!H78-1)),),IF('Part VI-Pro Forma'!$G$10="Yes",ROUND((-(SUM(H79:H82)*'Part VI-Pro Forma'!$K$10)),),"Choose mgt fee")))</f>
        <v>-45908</v>
      </c>
      <c r="I86" s="4555">
        <f>IF(AND('Part VI-Pro Forma'!$G$9="Yes",'Part VI-Pro Forma'!$G$10="Yes"),"Choose One!",IF('Part VI-Pro Forma'!$G$9="Yes",ROUND((-$K$9*(1+'Part VI-Pro Forma'!$B$7)^('Part VI-Pro Forma'!I78-1)),),IF('Part VI-Pro Forma'!$G$10="Yes",ROUND((-(SUM(I79:I82)*'Part VI-Pro Forma'!$K$10)),),"Choose mgt fee")))</f>
        <v>-46826</v>
      </c>
      <c r="J86" s="4555">
        <f>IF(AND('Part VI-Pro Forma'!$G$9="Yes",'Part VI-Pro Forma'!$G$10="Yes"),"Choose One!",IF('Part VI-Pro Forma'!$G$9="Yes",ROUND((-$K$9*(1+'Part VI-Pro Forma'!$B$7)^('Part VI-Pro Forma'!J78-1)),),IF('Part VI-Pro Forma'!$G$10="Yes",ROUND((-(SUM(J79:J82)*'Part VI-Pro Forma'!$K$10)),),"Choose mgt fee")))</f>
        <v>-47762</v>
      </c>
      <c r="K86" s="4556">
        <f>IF(AND('Part VI-Pro Forma'!$G$9="Yes",'Part VI-Pro Forma'!$G$10="Yes"),"Choose One!",IF('Part VI-Pro Forma'!$G$9="Yes",ROUND((-$K$9*(1+'Part VI-Pro Forma'!$B$7)^('Part VI-Pro Forma'!K78-1)),),IF('Part VI-Pro Forma'!$G$10="Yes",ROUND((-(SUM(K79:K82)*'Part VI-Pro Forma'!$K$10)),),"Choose mgt fee")))</f>
        <v>-48718</v>
      </c>
      <c r="L86" s="77"/>
      <c r="M86" s="77"/>
      <c r="N86" s="3068"/>
      <c r="O86" s="3070"/>
      <c r="P86" s="77"/>
      <c r="Q86" s="77"/>
      <c r="R86" s="77"/>
      <c r="S86" s="77"/>
      <c r="T86" s="77"/>
      <c r="U86" s="77"/>
      <c r="V86" s="77"/>
      <c r="W86" s="77"/>
      <c r="X86" s="77"/>
      <c r="Y86" s="77"/>
      <c r="Z86" s="1294" t="s">
        <v>1404</v>
      </c>
      <c r="AA86" s="1296">
        <v>86</v>
      </c>
    </row>
    <row r="87" spans="1:27" ht="13.5" customHeight="1">
      <c r="A87" s="236" t="s">
        <v>1388</v>
      </c>
      <c r="B87" s="4555">
        <f t="shared" ref="B87:K87" si="38">$B$23*(1+$B$8)^(B78-1)</f>
        <v>-32510.00222404944</v>
      </c>
      <c r="C87" s="4555">
        <f t="shared" si="38"/>
        <v>-33485.302290770916</v>
      </c>
      <c r="D87" s="4555">
        <f t="shared" si="38"/>
        <v>-34489.861359494047</v>
      </c>
      <c r="E87" s="4555">
        <f t="shared" si="38"/>
        <v>-35524.557200278869</v>
      </c>
      <c r="F87" s="4555">
        <f t="shared" si="38"/>
        <v>-36590.293916287235</v>
      </c>
      <c r="G87" s="4555">
        <f t="shared" si="38"/>
        <v>-37688.002733775851</v>
      </c>
      <c r="H87" s="4555">
        <f t="shared" si="38"/>
        <v>-38818.642815789128</v>
      </c>
      <c r="I87" s="4555">
        <f t="shared" si="38"/>
        <v>-39983.202100262803</v>
      </c>
      <c r="J87" s="4555">
        <f t="shared" si="38"/>
        <v>-41182.698163270681</v>
      </c>
      <c r="K87" s="4556">
        <f t="shared" si="38"/>
        <v>-42418.179108168799</v>
      </c>
      <c r="L87" s="77"/>
      <c r="M87" s="77"/>
      <c r="N87" s="3068"/>
      <c r="O87" s="3070"/>
      <c r="P87" s="77"/>
      <c r="Q87" s="58"/>
      <c r="R87" s="4557"/>
      <c r="S87" s="4557"/>
      <c r="T87" s="77"/>
      <c r="U87" s="77"/>
      <c r="V87" s="77"/>
      <c r="W87" s="77"/>
      <c r="X87" s="77"/>
      <c r="Y87" s="77"/>
      <c r="Z87" s="1294" t="s">
        <v>1404</v>
      </c>
      <c r="AA87" s="1296">
        <v>87</v>
      </c>
    </row>
    <row r="88" spans="1:27" ht="13.5" customHeight="1">
      <c r="A88" s="236" t="s">
        <v>1389</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68"/>
      <c r="O88" s="3070"/>
      <c r="P88" s="77"/>
      <c r="Q88" s="77"/>
      <c r="R88" s="77"/>
      <c r="S88" s="77"/>
      <c r="T88" s="77"/>
      <c r="U88" s="77"/>
      <c r="V88" s="77"/>
      <c r="W88" s="77"/>
      <c r="X88" s="77"/>
      <c r="Y88" s="77"/>
      <c r="Z88" s="1294" t="s">
        <v>1404</v>
      </c>
      <c r="AA88" s="1296">
        <v>88</v>
      </c>
    </row>
    <row r="89" spans="1:27" ht="13.5" customHeight="1">
      <c r="A89" s="236" t="s">
        <v>1390</v>
      </c>
      <c r="B89" s="4555">
        <f t="shared" ref="B89:K89" si="39">SUM(B84:B88)</f>
        <v>244924.11703670651</v>
      </c>
      <c r="C89" s="4555">
        <f t="shared" si="39"/>
        <v>244526.83940401953</v>
      </c>
      <c r="D89" s="4555">
        <f t="shared" si="39"/>
        <v>243962.03441947629</v>
      </c>
      <c r="E89" s="4555">
        <f t="shared" si="39"/>
        <v>243222.92508206319</v>
      </c>
      <c r="F89" s="4555">
        <f t="shared" si="39"/>
        <v>242300.435857128</v>
      </c>
      <c r="G89" s="4555">
        <f t="shared" si="39"/>
        <v>241185.18241589659</v>
      </c>
      <c r="H89" s="4555">
        <f t="shared" si="39"/>
        <v>239869.4610410897</v>
      </c>
      <c r="I89" s="4555">
        <f t="shared" si="39"/>
        <v>238343.23768809246</v>
      </c>
      <c r="J89" s="4555">
        <f t="shared" si="39"/>
        <v>236597.13669082118</v>
      </c>
      <c r="K89" s="4559">
        <f t="shared" si="39"/>
        <v>234619.42910107318</v>
      </c>
      <c r="L89" s="77"/>
      <c r="M89" s="77"/>
      <c r="N89" s="3068"/>
      <c r="O89" s="3070"/>
      <c r="P89" s="77"/>
      <c r="Q89" s="77"/>
      <c r="R89" s="77"/>
      <c r="S89" s="77"/>
      <c r="T89" s="77"/>
      <c r="U89" s="77"/>
      <c r="V89" s="77"/>
      <c r="W89" s="77"/>
      <c r="X89" s="77"/>
      <c r="Y89" s="77"/>
      <c r="Z89" s="1294" t="s">
        <v>1404</v>
      </c>
      <c r="AA89" s="1296">
        <v>89</v>
      </c>
    </row>
    <row r="90" spans="1:27" ht="13.5" customHeight="1">
      <c r="A90" s="236" t="str">
        <f>$A58</f>
        <v>Mortgage A</v>
      </c>
      <c r="B90" s="4560">
        <f>IF('Part II-Sources of Funds'!$P$40="", 0,-'Part II-Sources of Funds'!$P$40)</f>
        <v>-188666.53650856763</v>
      </c>
      <c r="C90" s="4560">
        <f>IF('Part II-Sources of Funds'!$P$40="", 0,-'Part II-Sources of Funds'!$P$40)</f>
        <v>-188666.53650856763</v>
      </c>
      <c r="D90" s="4560">
        <f>IF('Part II-Sources of Funds'!$P$40="", 0,-'Part II-Sources of Funds'!$P$40)</f>
        <v>-188666.53650856763</v>
      </c>
      <c r="E90" s="4560">
        <f>IF('Part II-Sources of Funds'!$P$40="", 0,-'Part II-Sources of Funds'!$P$40)</f>
        <v>-188666.53650856763</v>
      </c>
      <c r="F90" s="4560">
        <f>IF('Part II-Sources of Funds'!$P$40="", 0,-'Part II-Sources of Funds'!$P$40)</f>
        <v>-188666.53650856763</v>
      </c>
      <c r="G90" s="4560">
        <f>IF('Part II-Sources of Funds'!$P$40="", 0,-'Part II-Sources of Funds'!$P$40)</f>
        <v>-188666.53650856763</v>
      </c>
      <c r="H90" s="4560">
        <f>IF('Part II-Sources of Funds'!$P$40="", 0,-'Part II-Sources of Funds'!$P$40)</f>
        <v>-188666.53650856763</v>
      </c>
      <c r="I90" s="4560">
        <f>IF('Part II-Sources of Funds'!$P$40="", 0,-'Part II-Sources of Funds'!$P$40)</f>
        <v>-188666.53650856763</v>
      </c>
      <c r="J90" s="4560">
        <f>IF('Part II-Sources of Funds'!$P$40="", 0,-'Part II-Sources of Funds'!$P$40)</f>
        <v>-188666.53650856763</v>
      </c>
      <c r="K90" s="4560">
        <f>IF('Part II-Sources of Funds'!$P$40="", 0,-'Part II-Sources of Funds'!$P$40)</f>
        <v>-188666.53650856763</v>
      </c>
      <c r="L90" s="77"/>
      <c r="M90" s="77"/>
      <c r="N90" s="3068"/>
      <c r="O90" s="3070"/>
      <c r="P90" s="77"/>
      <c r="Q90" s="77"/>
      <c r="R90" s="77"/>
      <c r="S90" s="77"/>
      <c r="T90" s="77"/>
      <c r="U90" s="77"/>
      <c r="V90" s="77"/>
      <c r="W90" s="77"/>
      <c r="X90" s="77"/>
      <c r="Y90" s="77"/>
      <c r="Z90" s="1294" t="s">
        <v>1404</v>
      </c>
      <c r="AA90" s="1296">
        <v>90</v>
      </c>
    </row>
    <row r="91" spans="1:27" ht="1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68"/>
      <c r="O91" s="3070"/>
      <c r="P91" s="77"/>
      <c r="Q91" s="77"/>
      <c r="R91" s="77"/>
      <c r="S91" s="77"/>
      <c r="T91" s="77"/>
      <c r="U91" s="77"/>
      <c r="V91" s="77"/>
      <c r="W91" s="77"/>
      <c r="X91" s="77"/>
      <c r="Y91" s="77"/>
      <c r="Z91" s="1294" t="s">
        <v>1404</v>
      </c>
      <c r="AA91" s="1296">
        <v>91</v>
      </c>
    </row>
    <row r="92" spans="1:27" ht="1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68"/>
      <c r="O92" s="3070"/>
      <c r="P92" s="77"/>
      <c r="Q92" s="77"/>
      <c r="R92" s="77"/>
      <c r="S92" s="77"/>
      <c r="T92" s="77"/>
      <c r="U92" s="77"/>
      <c r="V92" s="77"/>
      <c r="W92" s="77"/>
      <c r="X92" s="77"/>
      <c r="Y92" s="77"/>
      <c r="Z92" s="1294" t="s">
        <v>1404</v>
      </c>
      <c r="AA92" s="1296">
        <v>92</v>
      </c>
    </row>
    <row r="93" spans="1:27" ht="1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68"/>
      <c r="O93" s="3070"/>
      <c r="P93" s="77"/>
      <c r="Q93" s="77"/>
      <c r="R93" s="77"/>
      <c r="S93" s="77"/>
      <c r="T93" s="77"/>
      <c r="U93" s="77"/>
      <c r="V93" s="77"/>
      <c r="W93" s="77"/>
      <c r="X93" s="77"/>
      <c r="Y93" s="77"/>
      <c r="Z93" s="1294" t="s">
        <v>1404</v>
      </c>
      <c r="AA93" s="1296">
        <v>93</v>
      </c>
    </row>
    <row r="94" spans="1:27" ht="13.5" customHeight="1">
      <c r="A94" s="236" t="s">
        <v>1392</v>
      </c>
      <c r="B94" s="4562"/>
      <c r="C94" s="4562"/>
      <c r="D94" s="4562"/>
      <c r="E94" s="4562"/>
      <c r="F94" s="4562"/>
      <c r="G94" s="4562"/>
      <c r="H94" s="4562"/>
      <c r="I94" s="4562"/>
      <c r="J94" s="4562"/>
      <c r="K94" s="4562"/>
      <c r="L94" s="77"/>
      <c r="M94" s="77"/>
      <c r="N94" s="3068"/>
      <c r="O94" s="3070"/>
      <c r="P94" s="77"/>
      <c r="Q94" s="77"/>
      <c r="R94" s="77"/>
      <c r="S94" s="77"/>
      <c r="T94" s="77"/>
      <c r="U94" s="77"/>
      <c r="V94" s="77"/>
      <c r="W94" s="77"/>
      <c r="X94" s="77"/>
      <c r="Y94" s="77"/>
      <c r="Z94" s="1294" t="s">
        <v>1404</v>
      </c>
      <c r="AA94" s="1296">
        <v>94</v>
      </c>
    </row>
    <row r="95" spans="1:27" ht="13.5" customHeight="1">
      <c r="A95" s="236" t="s">
        <v>1393</v>
      </c>
      <c r="B95" s="4564">
        <f>+K63*1.03</f>
        <v>-16255.001112024738</v>
      </c>
      <c r="C95" s="4564">
        <f>B95*1.03</f>
        <v>-16742.65114538548</v>
      </c>
      <c r="D95" s="4564">
        <f t="shared" ref="D95:K95" si="40">C95*1.03</f>
        <v>-17244.930679747045</v>
      </c>
      <c r="E95" s="4564">
        <f t="shared" si="40"/>
        <v>-17762.278600139456</v>
      </c>
      <c r="F95" s="4564">
        <f t="shared" si="40"/>
        <v>-18295.146958143639</v>
      </c>
      <c r="G95" s="4564">
        <f t="shared" si="40"/>
        <v>-18844.001366887947</v>
      </c>
      <c r="H95" s="4564">
        <f t="shared" si="40"/>
        <v>-19409.321407894586</v>
      </c>
      <c r="I95" s="4564">
        <f t="shared" si="40"/>
        <v>-19991.601050131423</v>
      </c>
      <c r="J95" s="4564">
        <f t="shared" si="40"/>
        <v>-20591.349081635366</v>
      </c>
      <c r="K95" s="4564">
        <f t="shared" si="40"/>
        <v>-21209.089554084429</v>
      </c>
      <c r="L95" s="77"/>
      <c r="M95" s="77"/>
      <c r="N95" s="3068"/>
      <c r="O95" s="3070"/>
      <c r="P95" s="77"/>
      <c r="Q95" s="77"/>
      <c r="R95" s="77"/>
      <c r="S95" s="77"/>
      <c r="T95" s="77"/>
      <c r="U95" s="77"/>
      <c r="V95" s="77"/>
      <c r="W95" s="77"/>
      <c r="X95" s="77"/>
      <c r="Y95" s="77"/>
      <c r="Z95" s="1294" t="s">
        <v>1404</v>
      </c>
      <c r="AA95" s="1296">
        <v>95</v>
      </c>
    </row>
    <row r="96" spans="1:27" ht="13.5" customHeight="1">
      <c r="A96" s="236" t="s">
        <v>453</v>
      </c>
      <c r="B96" s="4555">
        <f t="shared" ref="B96:K96" si="41">SUM(B89:B95)</f>
        <v>40002.579416114138</v>
      </c>
      <c r="C96" s="4555">
        <f t="shared" si="41"/>
        <v>39117.651750066419</v>
      </c>
      <c r="D96" s="4555">
        <f t="shared" si="41"/>
        <v>38050.567231161607</v>
      </c>
      <c r="E96" s="4555">
        <f t="shared" si="41"/>
        <v>36794.109973356099</v>
      </c>
      <c r="F96" s="4555">
        <f t="shared" si="41"/>
        <v>35338.752390416732</v>
      </c>
      <c r="G96" s="4555">
        <f t="shared" si="41"/>
        <v>33674.644540441011</v>
      </c>
      <c r="H96" s="4555">
        <f t="shared" si="41"/>
        <v>31793.603124627483</v>
      </c>
      <c r="I96" s="4555">
        <f t="shared" si="41"/>
        <v>29685.100129393402</v>
      </c>
      <c r="J96" s="4555">
        <f t="shared" si="41"/>
        <v>27339.251100618181</v>
      </c>
      <c r="K96" s="4556">
        <f t="shared" si="41"/>
        <v>24743.803038421123</v>
      </c>
      <c r="L96" s="77"/>
      <c r="M96" s="77"/>
      <c r="N96" s="3068"/>
      <c r="O96" s="3070"/>
      <c r="P96" s="77"/>
      <c r="Q96" s="77"/>
      <c r="R96" s="77"/>
      <c r="S96" s="77"/>
      <c r="T96" s="77"/>
      <c r="U96" s="77"/>
      <c r="V96" s="77"/>
      <c r="W96" s="77"/>
      <c r="X96" s="77"/>
      <c r="Y96" s="77"/>
      <c r="Z96" s="1294" t="s">
        <v>1404</v>
      </c>
      <c r="AA96" s="1296">
        <v>96</v>
      </c>
    </row>
    <row r="97" spans="1:27" ht="13.5" customHeight="1">
      <c r="A97" s="236" t="str">
        <f>$A66</f>
        <v>DCR Mortgage A</v>
      </c>
      <c r="B97" s="4565">
        <f t="shared" ref="B97:K97" si="42">IF(B90=0,"",-B89/B90)</f>
        <v>1.2981852615160725</v>
      </c>
      <c r="C97" s="4565">
        <f t="shared" si="42"/>
        <v>1.2960795482293448</v>
      </c>
      <c r="D97" s="4565">
        <f t="shared" si="42"/>
        <v>1.2930858801682492</v>
      </c>
      <c r="E97" s="4565">
        <f t="shared" si="42"/>
        <v>1.2891683368079323</v>
      </c>
      <c r="F97" s="4565">
        <f t="shared" si="42"/>
        <v>1.2842788145746491</v>
      </c>
      <c r="G97" s="4565">
        <f t="shared" si="42"/>
        <v>1.2783675731755642</v>
      </c>
      <c r="H97" s="4565">
        <f t="shared" si="42"/>
        <v>1.2713937801587663</v>
      </c>
      <c r="I97" s="4565">
        <f t="shared" si="42"/>
        <v>1.2633042515055071</v>
      </c>
      <c r="J97" s="4565">
        <f t="shared" si="42"/>
        <v>1.2540492928383034</v>
      </c>
      <c r="K97" s="4566">
        <f t="shared" si="42"/>
        <v>1.2435667365442877</v>
      </c>
      <c r="L97" s="77"/>
      <c r="M97" s="77"/>
      <c r="N97" s="3068"/>
      <c r="O97" s="3070"/>
      <c r="P97" s="77"/>
      <c r="Q97" s="77"/>
      <c r="R97" s="77"/>
      <c r="S97" s="77"/>
      <c r="T97" s="77"/>
      <c r="U97" s="77"/>
      <c r="V97" s="77"/>
      <c r="W97" s="77"/>
      <c r="X97" s="77"/>
      <c r="Y97" s="77"/>
      <c r="Z97" s="1294" t="s">
        <v>1404</v>
      </c>
      <c r="AA97" s="1296">
        <v>97</v>
      </c>
    </row>
    <row r="98" spans="1:27" ht="1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68"/>
      <c r="O98" s="3070"/>
      <c r="P98" s="77"/>
      <c r="Q98" s="77"/>
      <c r="R98" s="77"/>
      <c r="S98" s="77"/>
      <c r="T98" s="77"/>
      <c r="U98" s="77"/>
      <c r="V98" s="77"/>
      <c r="W98" s="77"/>
      <c r="X98" s="77"/>
      <c r="Y98" s="77"/>
      <c r="Z98" s="1294" t="s">
        <v>1404</v>
      </c>
      <c r="AA98" s="1296">
        <v>98</v>
      </c>
    </row>
    <row r="99" spans="1:27" ht="1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68"/>
      <c r="O99" s="3070"/>
      <c r="P99" s="77"/>
      <c r="Q99" s="77"/>
      <c r="R99" s="77"/>
      <c r="S99" s="77"/>
      <c r="T99" s="77"/>
      <c r="U99" s="77"/>
      <c r="V99" s="77"/>
      <c r="W99" s="77"/>
      <c r="X99" s="77"/>
      <c r="Y99" s="77"/>
      <c r="Z99" s="1294" t="s">
        <v>1404</v>
      </c>
      <c r="AA99" s="1296">
        <v>99</v>
      </c>
    </row>
    <row r="100" spans="1:27" ht="1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68"/>
      <c r="O100" s="3070"/>
      <c r="P100" s="77"/>
      <c r="Q100" s="77"/>
      <c r="R100" s="77"/>
      <c r="S100" s="77"/>
      <c r="T100" s="77"/>
      <c r="U100" s="77"/>
      <c r="V100" s="77"/>
      <c r="W100" s="77"/>
      <c r="X100" s="77"/>
      <c r="Y100" s="77"/>
      <c r="Z100" s="1294" t="s">
        <v>1404</v>
      </c>
      <c r="AA100" s="1296">
        <v>100</v>
      </c>
    </row>
    <row r="101" spans="1:27" ht="13.5" customHeight="1">
      <c r="A101" s="236" t="s">
        <v>1396</v>
      </c>
      <c r="B101" s="4565">
        <f t="shared" ref="B101:K101" si="46">IF(AND(B90=0,B91=0,B92=0,B93=0),"",-B89/(B90+B91+B92+B93))</f>
        <v>1.2981852615160725</v>
      </c>
      <c r="C101" s="4565">
        <f t="shared" si="46"/>
        <v>1.2960795482293448</v>
      </c>
      <c r="D101" s="4565">
        <f t="shared" si="46"/>
        <v>1.2930858801682492</v>
      </c>
      <c r="E101" s="4565">
        <f t="shared" si="46"/>
        <v>1.2891683368079323</v>
      </c>
      <c r="F101" s="4565">
        <f t="shared" si="46"/>
        <v>1.2842788145746491</v>
      </c>
      <c r="G101" s="4565">
        <f t="shared" si="46"/>
        <v>1.2783675731755642</v>
      </c>
      <c r="H101" s="4565">
        <f t="shared" si="46"/>
        <v>1.2713937801587663</v>
      </c>
      <c r="I101" s="4565">
        <f t="shared" si="46"/>
        <v>1.2633042515055071</v>
      </c>
      <c r="J101" s="4565">
        <f t="shared" si="46"/>
        <v>1.2540492928383034</v>
      </c>
      <c r="K101" s="4566">
        <f t="shared" si="46"/>
        <v>1.2435667365442877</v>
      </c>
      <c r="L101" s="77"/>
      <c r="M101" s="77"/>
      <c r="N101" s="3068"/>
      <c r="O101" s="3070"/>
      <c r="P101" s="77"/>
      <c r="Q101" s="77"/>
      <c r="R101" s="77"/>
      <c r="S101" s="77"/>
      <c r="T101" s="77"/>
      <c r="U101" s="77"/>
      <c r="V101" s="77"/>
      <c r="W101" s="77"/>
      <c r="X101" s="77"/>
      <c r="Y101" s="77"/>
      <c r="Z101" s="1294" t="s">
        <v>1404</v>
      </c>
      <c r="AA101" s="1296">
        <v>101</v>
      </c>
    </row>
    <row r="102" spans="1:27" ht="13.5" customHeight="1">
      <c r="A102" s="236" t="s">
        <v>1397</v>
      </c>
      <c r="B102" s="4567">
        <f>IF(OR(B86="Choose mgt fee",B86="Choose One!"),"",(B79+B80+B81+B82+B83) / -(B85+B86+B87))</f>
        <v>1.429411940961296</v>
      </c>
      <c r="C102" s="4567">
        <f t="shared" ref="C102:K102" si="47">IF(OR(C86="Choose mgt fee",C86="Choose One!"),"",(C79+C80+C81+C82+C83) / -(C85+C86+C87))</f>
        <v>1.4165177908936293</v>
      </c>
      <c r="D102" s="4567">
        <f t="shared" si="47"/>
        <v>1.4037295077502554</v>
      </c>
      <c r="E102" s="4567">
        <f t="shared" si="47"/>
        <v>1.3910495019641855</v>
      </c>
      <c r="F102" s="4567">
        <f t="shared" si="47"/>
        <v>1.3784754384450815</v>
      </c>
      <c r="G102" s="4567">
        <f t="shared" si="47"/>
        <v>1.36600522419502</v>
      </c>
      <c r="H102" s="4567">
        <f t="shared" si="47"/>
        <v>1.3536409769054456</v>
      </c>
      <c r="I102" s="4567">
        <f t="shared" si="47"/>
        <v>1.3413805746976897</v>
      </c>
      <c r="J102" s="4567">
        <f t="shared" si="47"/>
        <v>1.3292239571618309</v>
      </c>
      <c r="K102" s="4568">
        <f t="shared" si="47"/>
        <v>1.3171674185532118</v>
      </c>
      <c r="L102" s="77"/>
      <c r="M102" s="77"/>
      <c r="N102" s="3068"/>
      <c r="O102" s="3070"/>
      <c r="P102" s="77"/>
      <c r="Q102" s="77"/>
      <c r="R102" s="77"/>
      <c r="S102" s="77"/>
      <c r="T102" s="77"/>
      <c r="U102" s="77"/>
      <c r="V102" s="77"/>
      <c r="W102" s="77"/>
      <c r="X102" s="77"/>
      <c r="Y102" s="77"/>
      <c r="Z102" s="1294" t="s">
        <v>1404</v>
      </c>
      <c r="AA102" s="1296">
        <v>102</v>
      </c>
    </row>
    <row r="103" spans="1:27" ht="13.5" customHeight="1">
      <c r="A103" s="236" t="s">
        <v>1398</v>
      </c>
      <c r="B103" s="4569">
        <f>IF('Part II-Sources of Funds'!$I$40="","",-FV('Part II-Sources of Funds'!$K$40/12,12,B90/12,K72))</f>
        <v>1979647.7342477948</v>
      </c>
      <c r="C103" s="4569">
        <f>IF('Part II-Sources of Funds'!$I$40="","",-FV('Part II-Sources of Funds'!$K$40/12,12,C90/12,B103))</f>
        <v>1927917.7836081418</v>
      </c>
      <c r="D103" s="4569">
        <f>IF('Part II-Sources of Funds'!$I$40="","",-FV('Part II-Sources of Funds'!$K$40/12,12,D90/12,C103))</f>
        <v>1872448.270654059</v>
      </c>
      <c r="E103" s="4569">
        <f>IF('Part II-Sources of Funds'!$I$40="","",-FV('Part II-Sources of Funds'!$K$40/12,12,E90/12,D103))</f>
        <v>1812968.8621234696</v>
      </c>
      <c r="F103" s="4569">
        <f>IF('Part II-Sources of Funds'!$I$40="","",-FV('Part II-Sources of Funds'!$K$40/12,12,F90/12,E103))</f>
        <v>1749189.6823409228</v>
      </c>
      <c r="G103" s="4569">
        <f>IF('Part II-Sources of Funds'!$I$40="","",-FV('Part II-Sources of Funds'!$K$40/12,12,G90/12,F103))</f>
        <v>1680799.9004949513</v>
      </c>
      <c r="H103" s="4569">
        <f>IF('Part II-Sources of Funds'!$I$40="","",-FV('Part II-Sources of Funds'!$K$40/12,12,H90/12,G103))</f>
        <v>1607466.2157895942</v>
      </c>
      <c r="I103" s="4569">
        <f>IF('Part II-Sources of Funds'!$I$40="","",-FV('Part II-Sources of Funds'!$K$40/12,12,I90/12,H103))</f>
        <v>1528831.2330874011</v>
      </c>
      <c r="J103" s="4569">
        <f>IF('Part II-Sources of Funds'!$I$40="","",-FV('Part II-Sources of Funds'!$K$40/12,12,J90/12,I103))</f>
        <v>1444511.7211275378</v>
      </c>
      <c r="K103" s="4569">
        <f>IF('Part II-Sources of Funds'!$I$40="","",-FV('Part II-Sources of Funds'!$K$40/12,12,K90/12,J103))</f>
        <v>1354096.7448303376</v>
      </c>
      <c r="L103" s="77"/>
      <c r="M103" s="77"/>
      <c r="N103" s="3068"/>
      <c r="O103" s="3070"/>
      <c r="P103" s="77"/>
      <c r="Q103" s="77"/>
      <c r="R103" s="77"/>
      <c r="S103" s="77"/>
      <c r="T103" s="77"/>
      <c r="U103" s="77"/>
      <c r="V103" s="77"/>
      <c r="W103" s="77"/>
      <c r="X103" s="77"/>
      <c r="Y103" s="77"/>
      <c r="Z103" s="1294" t="s">
        <v>1404</v>
      </c>
      <c r="AA103" s="1296">
        <v>103</v>
      </c>
    </row>
    <row r="104" spans="1:27" ht="13.5" customHeight="1">
      <c r="A104" s="236" t="s">
        <v>1399</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68"/>
      <c r="O104" s="3070"/>
      <c r="P104" s="77"/>
      <c r="Q104" s="77"/>
      <c r="R104" s="77"/>
      <c r="S104" s="77"/>
      <c r="T104" s="77"/>
      <c r="U104" s="77"/>
      <c r="V104" s="77"/>
      <c r="W104" s="77"/>
      <c r="X104" s="77"/>
      <c r="Y104" s="77"/>
      <c r="Z104" s="1294" t="s">
        <v>1404</v>
      </c>
      <c r="AA104" s="1296">
        <v>104</v>
      </c>
    </row>
    <row r="105" spans="1:27" ht="13.5" customHeight="1">
      <c r="A105" s="236" t="s">
        <v>1400</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68"/>
      <c r="O105" s="3070"/>
      <c r="P105" s="77"/>
      <c r="Q105" s="77"/>
      <c r="R105" s="77"/>
      <c r="S105" s="77"/>
      <c r="T105" s="77"/>
      <c r="U105" s="77"/>
      <c r="V105" s="77"/>
      <c r="W105" s="77"/>
      <c r="X105" s="77"/>
      <c r="Y105" s="77"/>
      <c r="Z105" s="1294" t="s">
        <v>1404</v>
      </c>
      <c r="AA105" s="1296">
        <v>105</v>
      </c>
    </row>
    <row r="106" spans="1:27" ht="13.5" customHeight="1">
      <c r="A106" s="236" t="s">
        <v>1401</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5"/>
      <c r="O106" s="3057"/>
      <c r="P106" s="77"/>
      <c r="Q106" s="77"/>
      <c r="R106" s="77"/>
      <c r="S106" s="77"/>
      <c r="T106" s="77"/>
      <c r="U106" s="77"/>
      <c r="V106" s="77"/>
      <c r="W106" s="77"/>
      <c r="X106" s="77"/>
      <c r="Y106" s="77"/>
      <c r="Z106" s="1294" t="s">
        <v>1404</v>
      </c>
      <c r="AA106" s="1296">
        <v>106</v>
      </c>
    </row>
    <row r="107" spans="1:27" ht="4.5"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85" customHeight="1">
      <c r="A108" s="6" t="s">
        <v>494</v>
      </c>
      <c r="B108" s="8">
        <f>K78+1</f>
        <v>31</v>
      </c>
      <c r="C108" s="8">
        <f>B108+1</f>
        <v>32</v>
      </c>
      <c r="D108" s="8">
        <f>C108+1</f>
        <v>33</v>
      </c>
      <c r="E108" s="8">
        <f>D108+1</f>
        <v>34</v>
      </c>
      <c r="F108" s="8">
        <f>E108+1</f>
        <v>35</v>
      </c>
      <c r="G108" s="4570"/>
      <c r="H108" s="4570"/>
      <c r="I108" s="4570"/>
      <c r="J108" s="4570"/>
      <c r="K108" s="4570"/>
      <c r="L108" s="77"/>
      <c r="M108" s="77"/>
      <c r="N108" s="2821" t="s">
        <v>1405</v>
      </c>
      <c r="O108" s="2821"/>
      <c r="P108" s="77"/>
      <c r="Q108" s="77"/>
      <c r="R108" s="77"/>
      <c r="S108" s="77"/>
      <c r="T108" s="77"/>
      <c r="U108" s="77"/>
      <c r="V108" s="77"/>
      <c r="W108" s="77"/>
      <c r="X108" s="77"/>
      <c r="Y108" s="77"/>
      <c r="AA108" s="1296">
        <v>108</v>
      </c>
    </row>
    <row r="109" spans="1:27" ht="13.5" customHeight="1">
      <c r="A109" s="4552" t="s">
        <v>1377</v>
      </c>
      <c r="B109" s="4553">
        <f>$B$15*(1+$B$6)^(B108-1)</f>
        <v>1047691.5402453797</v>
      </c>
      <c r="C109" s="4553">
        <f>$B$15*(1+$B$6)^(C108-1)</f>
        <v>1068645.371050287</v>
      </c>
      <c r="D109" s="4553">
        <f>$B$15*(1+$B$6)^(D108-1)</f>
        <v>1090018.2784712929</v>
      </c>
      <c r="E109" s="4553">
        <f>$B$15*(1+$B$6)^(E108-1)</f>
        <v>1111818.6440407189</v>
      </c>
      <c r="F109" s="4554">
        <f>$B$15*(1+$B$6)^(F108-1)</f>
        <v>1134055.0169215333</v>
      </c>
      <c r="G109" s="4570"/>
      <c r="H109" s="4570"/>
      <c r="I109" s="4570"/>
      <c r="J109" s="4570"/>
      <c r="K109" s="4570"/>
      <c r="L109" s="77"/>
      <c r="M109" s="77"/>
      <c r="N109" s="3123"/>
      <c r="O109" s="3125"/>
      <c r="P109" s="77"/>
      <c r="Q109" s="77"/>
      <c r="R109" s="77"/>
      <c r="S109" s="77"/>
      <c r="T109" s="77"/>
      <c r="U109" s="77"/>
      <c r="V109" s="77"/>
      <c r="W109" s="77"/>
      <c r="X109" s="77"/>
      <c r="Y109" s="77"/>
      <c r="Z109" s="1294" t="s">
        <v>1406</v>
      </c>
      <c r="AA109" s="1296">
        <v>109</v>
      </c>
    </row>
    <row r="110" spans="1:27" ht="13.5" customHeight="1">
      <c r="A110" s="236" t="s">
        <v>1260</v>
      </c>
      <c r="B110" s="4555">
        <f>$B$16*(1+$B$6)^(B108-1)</f>
        <v>20953.830804907593</v>
      </c>
      <c r="C110" s="4555">
        <f>$B$16*(1+$B$6)^(C108-1)</f>
        <v>21372.907421005741</v>
      </c>
      <c r="D110" s="4555">
        <f>$B$16*(1+$B$6)^(D108-1)</f>
        <v>21800.36556942586</v>
      </c>
      <c r="E110" s="4555">
        <f>$B$16*(1+$B$6)^(E108-1)</f>
        <v>22236.372880814379</v>
      </c>
      <c r="F110" s="4556">
        <f>$B$16*(1+$B$6)^(F108-1)</f>
        <v>22681.100338430664</v>
      </c>
      <c r="G110" s="4570"/>
      <c r="H110" s="4570"/>
      <c r="I110" s="4570"/>
      <c r="J110" s="4570"/>
      <c r="K110" s="4570"/>
      <c r="L110" s="77"/>
      <c r="M110" s="77"/>
      <c r="N110" s="3068"/>
      <c r="O110" s="3070"/>
      <c r="P110" s="77"/>
      <c r="Q110" s="77"/>
      <c r="R110" s="77"/>
      <c r="S110" s="77"/>
      <c r="T110" s="77"/>
      <c r="U110" s="77"/>
      <c r="V110" s="77"/>
      <c r="W110" s="77"/>
      <c r="X110" s="77"/>
      <c r="Y110" s="77"/>
      <c r="Z110" s="1294" t="s">
        <v>1406</v>
      </c>
      <c r="AA110" s="1296">
        <v>110</v>
      </c>
    </row>
    <row r="111" spans="1:27" ht="13.5" customHeight="1">
      <c r="A111" s="236" t="s">
        <v>1380</v>
      </c>
      <c r="B111" s="4555">
        <f>-(B109+B110)*$B$9</f>
        <v>-74805.175973520119</v>
      </c>
      <c r="C111" s="4555">
        <f>-(C109+C110)*$B$9</f>
        <v>-76301.279492990492</v>
      </c>
      <c r="D111" s="4555">
        <f>-(D109+D110)*$B$9</f>
        <v>-77827.305082850318</v>
      </c>
      <c r="E111" s="4555">
        <f>-(E109+E110)*$B$9</f>
        <v>-79383.851184507337</v>
      </c>
      <c r="F111" s="4556">
        <f>-(F109+F110)*$B$9</f>
        <v>-80971.528208197473</v>
      </c>
      <c r="G111" s="4570"/>
      <c r="H111" s="4570"/>
      <c r="I111" s="4570"/>
      <c r="J111" s="4570"/>
      <c r="K111" s="4570"/>
      <c r="L111" s="77"/>
      <c r="M111" s="77"/>
      <c r="N111" s="3068"/>
      <c r="O111" s="3070"/>
      <c r="P111" s="77"/>
      <c r="Q111" s="77"/>
      <c r="R111" s="77"/>
      <c r="S111" s="77"/>
      <c r="T111" s="77"/>
      <c r="U111" s="77"/>
      <c r="V111" s="77"/>
      <c r="W111" s="77"/>
      <c r="X111" s="77"/>
      <c r="Y111" s="77"/>
      <c r="Z111" s="1294" t="s">
        <v>1406</v>
      </c>
      <c r="AA111" s="1296">
        <v>111</v>
      </c>
    </row>
    <row r="112" spans="1:27" ht="13.5" customHeight="1">
      <c r="A112" s="236" t="s">
        <v>1383</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68"/>
      <c r="O112" s="3070"/>
      <c r="P112" s="77"/>
      <c r="Q112" s="77"/>
      <c r="R112" s="77"/>
      <c r="S112" s="77"/>
      <c r="T112" s="77"/>
      <c r="U112" s="77"/>
      <c r="V112" s="77"/>
      <c r="W112" s="77"/>
      <c r="X112" s="77"/>
      <c r="Y112" s="77"/>
      <c r="Z112" s="1294" t="s">
        <v>1406</v>
      </c>
      <c r="AA112" s="1296">
        <v>112</v>
      </c>
    </row>
    <row r="113" spans="1:27" ht="13.5" customHeight="1">
      <c r="A113" s="236" t="s">
        <v>1384</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68"/>
      <c r="O113" s="3070"/>
      <c r="P113" s="77"/>
      <c r="Q113" s="77"/>
      <c r="R113" s="77"/>
      <c r="S113" s="77"/>
      <c r="T113" s="77"/>
      <c r="U113" s="77"/>
      <c r="V113" s="77"/>
      <c r="W113" s="77"/>
      <c r="X113" s="77"/>
      <c r="Y113" s="77"/>
      <c r="Z113" s="1294" t="s">
        <v>1406</v>
      </c>
      <c r="AA113" s="1296">
        <v>113</v>
      </c>
    </row>
    <row r="114" spans="1:27" ht="13.5" customHeight="1">
      <c r="A114" s="236" t="s">
        <v>1385</v>
      </c>
      <c r="B114" s="4555">
        <f>SUM(B109:B113)</f>
        <v>993840.19507676712</v>
      </c>
      <c r="C114" s="4555">
        <f>SUM(C109:C113)</f>
        <v>1013716.9989783022</v>
      </c>
      <c r="D114" s="4555">
        <f>SUM(D109:D113)</f>
        <v>1033991.3389578684</v>
      </c>
      <c r="E114" s="4555">
        <f>SUM(E109:E113)</f>
        <v>1054671.1657370259</v>
      </c>
      <c r="F114" s="4556">
        <f>SUM(F109:F113)</f>
        <v>1075764.5890517663</v>
      </c>
      <c r="G114" s="4570"/>
      <c r="H114" s="4570"/>
      <c r="I114" s="4570"/>
      <c r="J114" s="4570"/>
      <c r="K114" s="4570"/>
      <c r="L114" s="77"/>
      <c r="M114" s="77"/>
      <c r="N114" s="3068"/>
      <c r="O114" s="3070"/>
      <c r="P114" s="77"/>
      <c r="Q114" s="77"/>
      <c r="R114" s="77"/>
      <c r="S114" s="77"/>
      <c r="T114" s="77"/>
      <c r="U114" s="77"/>
      <c r="V114" s="77"/>
      <c r="W114" s="77"/>
      <c r="X114" s="77"/>
      <c r="Y114" s="77"/>
      <c r="Z114" s="1294" t="s">
        <v>1406</v>
      </c>
      <c r="AA114" s="1296">
        <v>114</v>
      </c>
    </row>
    <row r="115" spans="1:27" ht="13.5" customHeight="1">
      <c r="A115" s="236" t="s">
        <v>1386</v>
      </c>
      <c r="B115" s="4555">
        <f>$B$21*(1+$B$7)^(B108-1)</f>
        <v>-668055.44994552992</v>
      </c>
      <c r="C115" s="4555">
        <f>$B$21*(1+$B$7)^(C108-1)</f>
        <v>-688097.11344389594</v>
      </c>
      <c r="D115" s="4555">
        <f>$B$21*(1+$B$7)^(D108-1)</f>
        <v>-708740.02684721258</v>
      </c>
      <c r="E115" s="4555">
        <f>$B$21*(1+$B$7)^(E108-1)</f>
        <v>-730002.22765262902</v>
      </c>
      <c r="F115" s="4556">
        <f>$B$21*(1+$B$7)^(F108-1)</f>
        <v>-751902.29448220774</v>
      </c>
      <c r="G115" s="4570"/>
      <c r="H115" s="4570"/>
      <c r="I115" s="4570"/>
      <c r="J115" s="4570"/>
      <c r="K115" s="4570"/>
      <c r="L115" s="77"/>
      <c r="M115" s="77"/>
      <c r="N115" s="3068"/>
      <c r="O115" s="3070"/>
      <c r="P115" s="77"/>
      <c r="Q115" s="77"/>
      <c r="R115" s="77"/>
      <c r="S115" s="77"/>
      <c r="T115" s="77"/>
      <c r="U115" s="77"/>
      <c r="V115" s="77"/>
      <c r="W115" s="77"/>
      <c r="X115" s="77"/>
      <c r="Y115" s="77"/>
      <c r="Z115" s="1294" t="s">
        <v>1406</v>
      </c>
      <c r="AA115" s="1296">
        <v>115</v>
      </c>
    </row>
    <row r="116" spans="1:27" ht="13.5" customHeight="1">
      <c r="A116" s="236" t="s">
        <v>1387</v>
      </c>
      <c r="B116" s="4555">
        <f>IF(AND('Part VI-Pro Forma'!$G$9="Yes",'Part VI-Pro Forma'!$G$10="Yes"),"Choose One!",IF('Part VI-Pro Forma'!$G$9="Yes",ROUND((-$K$9*(1+'Part VI-Pro Forma'!$B$7)^('Part VI-Pro Forma'!B108-1)),),IF('Part VI-Pro Forma'!$G$10="Yes",ROUND((-(SUM(B109:B112)*'Part VI-Pro Forma'!$K$10)),),"Choose mgt fee")))</f>
        <v>-49692</v>
      </c>
      <c r="C116" s="4555">
        <f>IF(AND('Part VI-Pro Forma'!$G$9="Yes",'Part VI-Pro Forma'!$G$10="Yes"),"Choose One!",IF('Part VI-Pro Forma'!$G$9="Yes",ROUND((-$K$9*(1+'Part VI-Pro Forma'!$B$7)^('Part VI-Pro Forma'!C108-1)),),IF('Part VI-Pro Forma'!$G$10="Yes",ROUND((-(SUM(C109:C112)*'Part VI-Pro Forma'!$K$10)),),"Choose mgt fee")))</f>
        <v>-50686</v>
      </c>
      <c r="D116" s="4555">
        <f>IF(AND('Part VI-Pro Forma'!$G$9="Yes",'Part VI-Pro Forma'!$G$10="Yes"),"Choose One!",IF('Part VI-Pro Forma'!$G$9="Yes",ROUND((-$K$9*(1+'Part VI-Pro Forma'!$B$7)^('Part VI-Pro Forma'!D108-1)),),IF('Part VI-Pro Forma'!$G$10="Yes",ROUND((-(SUM(D109:D112)*'Part VI-Pro Forma'!$K$10)),),"Choose mgt fee")))</f>
        <v>-51700</v>
      </c>
      <c r="E116" s="4555">
        <f>IF(AND('Part VI-Pro Forma'!$G$9="Yes",'Part VI-Pro Forma'!$G$10="Yes"),"Choose One!",IF('Part VI-Pro Forma'!$G$9="Yes",ROUND((-$K$9*(1+'Part VI-Pro Forma'!$B$7)^('Part VI-Pro Forma'!E108-1)),),IF('Part VI-Pro Forma'!$G$10="Yes",ROUND((-(SUM(E109:E112)*'Part VI-Pro Forma'!$K$10)),),"Choose mgt fee")))</f>
        <v>-52734</v>
      </c>
      <c r="F116" s="4556">
        <f>IF(AND('Part VI-Pro Forma'!$G$9="Yes",'Part VI-Pro Forma'!$G$10="Yes"),"Choose One!",IF('Part VI-Pro Forma'!$G$9="Yes",ROUND((-$K$9*(1+'Part VI-Pro Forma'!$B$7)^('Part VI-Pro Forma'!F108-1)),),IF('Part VI-Pro Forma'!$G$10="Yes",ROUND((-(SUM(F109:F112)*'Part VI-Pro Forma'!$K$10)),),"Choose mgt fee")))</f>
        <v>-53788</v>
      </c>
      <c r="G116" s="4570"/>
      <c r="H116" s="4570"/>
      <c r="I116" s="4570"/>
      <c r="J116" s="4570"/>
      <c r="K116" s="4570"/>
      <c r="L116" s="77"/>
      <c r="M116" s="77"/>
      <c r="N116" s="3068"/>
      <c r="O116" s="3070"/>
      <c r="P116" s="77"/>
      <c r="Q116" s="77"/>
      <c r="R116" s="77"/>
      <c r="S116" s="77"/>
      <c r="T116" s="77"/>
      <c r="U116" s="77"/>
      <c r="V116" s="77"/>
      <c r="W116" s="77"/>
      <c r="X116" s="77"/>
      <c r="Y116" s="77"/>
      <c r="Z116" s="1294" t="s">
        <v>1406</v>
      </c>
      <c r="AA116" s="1296">
        <v>116</v>
      </c>
    </row>
    <row r="117" spans="1:27" ht="13.5" customHeight="1">
      <c r="A117" s="236" t="s">
        <v>1388</v>
      </c>
      <c r="B117" s="4555">
        <f>$B$23*(1+$B$8)^(B108-1)</f>
        <v>-43690.724481413861</v>
      </c>
      <c r="C117" s="4555">
        <f>$B$23*(1+$B$8)^(C108-1)</f>
        <v>-45001.446215856289</v>
      </c>
      <c r="D117" s="4555">
        <f>$B$23*(1+$B$8)^(D108-1)</f>
        <v>-46351.489602331967</v>
      </c>
      <c r="E117" s="4555">
        <f>$B$23*(1+$B$8)^(E108-1)</f>
        <v>-47742.034290401927</v>
      </c>
      <c r="F117" s="4556">
        <f>$B$23*(1+$B$8)^(F108-1)</f>
        <v>-49174.295319113975</v>
      </c>
      <c r="G117" s="4570"/>
      <c r="H117" s="4570"/>
      <c r="I117" s="4570"/>
      <c r="J117" s="4570"/>
      <c r="K117" s="4570"/>
      <c r="L117" s="77"/>
      <c r="M117" s="77"/>
      <c r="N117" s="3068"/>
      <c r="O117" s="3070"/>
      <c r="P117" s="77"/>
      <c r="Q117" s="58">
        <v>10</v>
      </c>
      <c r="R117" s="4557">
        <f>-SUM(B123:K123)</f>
        <v>0</v>
      </c>
      <c r="S117" s="4557">
        <f>SUM(B124:K124)+R117</f>
        <v>0</v>
      </c>
      <c r="T117" s="77"/>
      <c r="U117" s="77"/>
      <c r="V117" s="77"/>
      <c r="W117" s="77"/>
      <c r="X117" s="77"/>
      <c r="Y117" s="77"/>
      <c r="Z117" s="1294" t="s">
        <v>1406</v>
      </c>
      <c r="AA117" s="1296">
        <v>117</v>
      </c>
    </row>
    <row r="118" spans="1:27" ht="13.5" customHeight="1">
      <c r="A118" s="236" t="s">
        <v>1389</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68"/>
      <c r="O118" s="3070"/>
      <c r="P118" s="77"/>
      <c r="Q118" s="77"/>
      <c r="R118" s="77"/>
      <c r="S118" s="77"/>
      <c r="T118" s="77"/>
      <c r="U118" s="77"/>
      <c r="V118" s="77"/>
      <c r="W118" s="77"/>
      <c r="X118" s="77"/>
      <c r="Y118" s="77"/>
      <c r="Z118" s="1294" t="s">
        <v>1406</v>
      </c>
      <c r="AA118" s="1296">
        <v>118</v>
      </c>
    </row>
    <row r="119" spans="1:27" ht="13.5" customHeight="1">
      <c r="A119" s="236" t="s">
        <v>1390</v>
      </c>
      <c r="B119" s="4555">
        <f>SUM(B114:B118)</f>
        <v>232402.02064982333</v>
      </c>
      <c r="C119" s="4555">
        <f>SUM(C114:C118)</f>
        <v>229932.43931854999</v>
      </c>
      <c r="D119" s="4555">
        <f>SUM(D114:D118)</f>
        <v>227199.82250832385</v>
      </c>
      <c r="E119" s="4555">
        <f>SUM(E114:E118)</f>
        <v>224192.90379399495</v>
      </c>
      <c r="F119" s="4559">
        <f>SUM(F114:F118)</f>
        <v>220899.99925044461</v>
      </c>
      <c r="G119" s="4570"/>
      <c r="H119" s="4570"/>
      <c r="I119" s="4570"/>
      <c r="J119" s="4570"/>
      <c r="K119" s="4570"/>
      <c r="L119" s="77"/>
      <c r="M119" s="77"/>
      <c r="N119" s="3068"/>
      <c r="O119" s="3070"/>
      <c r="P119" s="77"/>
      <c r="Q119" s="77"/>
      <c r="R119" s="77"/>
      <c r="S119" s="77"/>
      <c r="T119" s="77"/>
      <c r="U119" s="77"/>
      <c r="V119" s="77"/>
      <c r="W119" s="77"/>
      <c r="X119" s="77"/>
      <c r="Y119" s="77"/>
      <c r="Z119" s="1294" t="s">
        <v>1406</v>
      </c>
      <c r="AA119" s="1296">
        <v>119</v>
      </c>
    </row>
    <row r="120" spans="1:27" ht="13.5" customHeight="1">
      <c r="A120" s="236" t="str">
        <f>$A90</f>
        <v>Mortgage A</v>
      </c>
      <c r="B120" s="4560">
        <f>IF('Part II-Sources of Funds'!$P$40="", 0,-'Part II-Sources of Funds'!$P$40)</f>
        <v>-188666.53650856763</v>
      </c>
      <c r="C120" s="4560">
        <f>IF('Part II-Sources of Funds'!$P$40="", 0,-'Part II-Sources of Funds'!$P$40)</f>
        <v>-188666.53650856763</v>
      </c>
      <c r="D120" s="4560">
        <f>IF('Part II-Sources of Funds'!$P$40="", 0,-'Part II-Sources of Funds'!$P$40)</f>
        <v>-188666.53650856763</v>
      </c>
      <c r="E120" s="4560">
        <f>IF('Part II-Sources of Funds'!$P$40="", 0,-'Part II-Sources of Funds'!$P$40)</f>
        <v>-188666.53650856763</v>
      </c>
      <c r="F120" s="4560">
        <f>IF('Part II-Sources of Funds'!$P$40="", 0,-'Part II-Sources of Funds'!$P$40)</f>
        <v>-188666.53650856763</v>
      </c>
      <c r="G120" s="4570"/>
      <c r="H120" s="4570"/>
      <c r="I120" s="4570"/>
      <c r="J120" s="4570"/>
      <c r="K120" s="4570"/>
      <c r="L120" s="77"/>
      <c r="M120" s="77"/>
      <c r="N120" s="3068"/>
      <c r="O120" s="3070"/>
      <c r="P120" s="77"/>
      <c r="Q120" s="77"/>
      <c r="R120" s="77"/>
      <c r="S120" s="77"/>
      <c r="T120" s="77"/>
      <c r="U120" s="77"/>
      <c r="V120" s="77"/>
      <c r="W120" s="77"/>
      <c r="X120" s="77"/>
      <c r="Y120" s="77"/>
      <c r="Z120" s="1294" t="s">
        <v>1406</v>
      </c>
      <c r="AA120" s="1296">
        <v>120</v>
      </c>
    </row>
    <row r="121" spans="1:27" ht="1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68"/>
      <c r="O121" s="3070"/>
      <c r="P121" s="77"/>
      <c r="Q121" s="77"/>
      <c r="R121" s="77"/>
      <c r="S121" s="77"/>
      <c r="T121" s="77"/>
      <c r="U121" s="77"/>
      <c r="V121" s="77"/>
      <c r="W121" s="77"/>
      <c r="X121" s="77"/>
      <c r="Y121" s="77"/>
      <c r="Z121" s="1294" t="s">
        <v>1406</v>
      </c>
      <c r="AA121" s="1296">
        <v>121</v>
      </c>
    </row>
    <row r="122" spans="1:27" ht="1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68"/>
      <c r="O122" s="3070"/>
      <c r="P122" s="77"/>
      <c r="Q122" s="77"/>
      <c r="R122" s="77"/>
      <c r="S122" s="77"/>
      <c r="T122" s="77"/>
      <c r="U122" s="77"/>
      <c r="V122" s="77"/>
      <c r="W122" s="77"/>
      <c r="X122" s="77"/>
      <c r="Y122" s="77"/>
      <c r="Z122" s="1294" t="s">
        <v>1406</v>
      </c>
      <c r="AA122" s="1296">
        <v>122</v>
      </c>
    </row>
    <row r="123" spans="1:27" ht="1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68"/>
      <c r="O123" s="3070"/>
      <c r="P123" s="77"/>
      <c r="Q123" s="77"/>
      <c r="R123" s="77"/>
      <c r="S123" s="77"/>
      <c r="T123" s="77"/>
      <c r="U123" s="77"/>
      <c r="V123" s="77"/>
      <c r="W123" s="77"/>
      <c r="X123" s="77"/>
      <c r="Y123" s="77"/>
      <c r="Z123" s="1294" t="s">
        <v>1406</v>
      </c>
      <c r="AA123" s="1296">
        <v>123</v>
      </c>
    </row>
    <row r="124" spans="1:27" ht="13.5" customHeight="1">
      <c r="A124" s="236" t="s">
        <v>1392</v>
      </c>
      <c r="B124" s="4562"/>
      <c r="C124" s="4562"/>
      <c r="D124" s="4562"/>
      <c r="E124" s="4562"/>
      <c r="F124" s="4562"/>
      <c r="G124" s="4570"/>
      <c r="H124" s="4570"/>
      <c r="I124" s="4570"/>
      <c r="J124" s="4570"/>
      <c r="K124" s="4570"/>
      <c r="L124" s="77"/>
      <c r="M124" s="77"/>
      <c r="N124" s="3068"/>
      <c r="O124" s="3070"/>
      <c r="P124" s="77"/>
      <c r="Q124" s="77"/>
      <c r="R124" s="77"/>
      <c r="S124" s="77"/>
      <c r="T124" s="77"/>
      <c r="U124" s="77"/>
      <c r="V124" s="77"/>
      <c r="W124" s="77"/>
      <c r="X124" s="77"/>
      <c r="Y124" s="77"/>
      <c r="Z124" s="1294" t="s">
        <v>1406</v>
      </c>
      <c r="AA124" s="1296">
        <v>124</v>
      </c>
    </row>
    <row r="125" spans="1:27" ht="13.5" customHeight="1">
      <c r="A125" s="236" t="s">
        <v>1393</v>
      </c>
      <c r="B125" s="4564">
        <f>+K95*1.03</f>
        <v>-21845.362240706963</v>
      </c>
      <c r="C125" s="4564">
        <f>B125*1.03</f>
        <v>-22500.723107928174</v>
      </c>
      <c r="D125" s="4564">
        <f t="shared" ref="D125:F125" si="48">C125*1.03</f>
        <v>-23175.74480116602</v>
      </c>
      <c r="E125" s="4564">
        <f t="shared" si="48"/>
        <v>-23871.017145201</v>
      </c>
      <c r="F125" s="4564">
        <f t="shared" si="48"/>
        <v>-24587.147659557031</v>
      </c>
      <c r="G125" s="4570"/>
      <c r="H125" s="4570"/>
      <c r="I125" s="4570"/>
      <c r="J125" s="4570"/>
      <c r="K125" s="4570"/>
      <c r="L125" s="77"/>
      <c r="M125" s="77"/>
      <c r="N125" s="3068"/>
      <c r="O125" s="3070"/>
      <c r="P125" s="77"/>
      <c r="Q125" s="77"/>
      <c r="R125" s="77"/>
      <c r="S125" s="77"/>
      <c r="T125" s="77"/>
      <c r="U125" s="77"/>
      <c r="V125" s="77"/>
      <c r="W125" s="77"/>
      <c r="X125" s="77"/>
      <c r="Y125" s="77"/>
      <c r="Z125" s="1294" t="s">
        <v>1406</v>
      </c>
      <c r="AA125" s="1296">
        <v>125</v>
      </c>
    </row>
    <row r="126" spans="1:27" ht="13.5" customHeight="1">
      <c r="A126" s="236" t="s">
        <v>453</v>
      </c>
      <c r="B126" s="4555">
        <f>SUM(B119:B125)</f>
        <v>21890.121900548736</v>
      </c>
      <c r="C126" s="4555">
        <f>SUM(C119:C125)</f>
        <v>18765.179702054189</v>
      </c>
      <c r="D126" s="4555">
        <f>SUM(D119:D125)</f>
        <v>15357.541198590199</v>
      </c>
      <c r="E126" s="4555">
        <f>SUM(E119:E125)</f>
        <v>11655.350140226317</v>
      </c>
      <c r="F126" s="4556">
        <f>SUM(F119:F125)</f>
        <v>7646.3150823199503</v>
      </c>
      <c r="G126" s="4570"/>
      <c r="H126" s="4570"/>
      <c r="I126" s="4570"/>
      <c r="J126" s="4570"/>
      <c r="K126" s="4570"/>
      <c r="L126" s="77"/>
      <c r="M126" s="77"/>
      <c r="N126" s="3068"/>
      <c r="O126" s="3070"/>
      <c r="P126" s="77"/>
      <c r="Q126" s="77"/>
      <c r="R126" s="77"/>
      <c r="S126" s="77"/>
      <c r="T126" s="77"/>
      <c r="U126" s="77"/>
      <c r="V126" s="77"/>
      <c r="W126" s="77"/>
      <c r="X126" s="77"/>
      <c r="Y126" s="77"/>
      <c r="Z126" s="1294" t="s">
        <v>1406</v>
      </c>
      <c r="AA126" s="1296">
        <v>126</v>
      </c>
    </row>
    <row r="127" spans="1:27" ht="13.5" customHeight="1">
      <c r="A127" s="236" t="str">
        <f>$A97</f>
        <v>DCR Mortgage A</v>
      </c>
      <c r="B127" s="4565">
        <f>IF(B120=0,"",-B119/B120)</f>
        <v>1.2318136801078639</v>
      </c>
      <c r="C127" s="4565">
        <f>IF(C120=0,"",-C119/C120)</f>
        <v>1.2187240173781873</v>
      </c>
      <c r="D127" s="4565">
        <f>IF(D120=0,"",-D119/D120)</f>
        <v>1.2042401727028385</v>
      </c>
      <c r="E127" s="4565">
        <f>IF(E120=0,"",-E119/E120)</f>
        <v>1.1883024300062561</v>
      </c>
      <c r="F127" s="4566">
        <f>IF(F120=0,"",-F119/F120)</f>
        <v>1.1708488603139922</v>
      </c>
      <c r="G127" s="4570"/>
      <c r="H127" s="4570"/>
      <c r="I127" s="4570"/>
      <c r="J127" s="4570"/>
      <c r="K127" s="4570"/>
      <c r="L127" s="77"/>
      <c r="M127" s="77"/>
      <c r="N127" s="3068"/>
      <c r="O127" s="3070"/>
      <c r="P127" s="77"/>
      <c r="Q127" s="77"/>
      <c r="R127" s="77"/>
      <c r="S127" s="77"/>
      <c r="T127" s="77"/>
      <c r="U127" s="77"/>
      <c r="V127" s="77"/>
      <c r="W127" s="77"/>
      <c r="X127" s="77"/>
      <c r="Y127" s="77"/>
      <c r="Z127" s="1294" t="s">
        <v>1406</v>
      </c>
      <c r="AA127" s="1296">
        <v>127</v>
      </c>
    </row>
    <row r="128" spans="1:27" ht="1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68"/>
      <c r="O128" s="3070"/>
      <c r="P128" s="77"/>
      <c r="Q128" s="77"/>
      <c r="R128" s="77"/>
      <c r="S128" s="77"/>
      <c r="T128" s="77"/>
      <c r="U128" s="77"/>
      <c r="V128" s="77"/>
      <c r="W128" s="77"/>
      <c r="X128" s="77"/>
      <c r="Y128" s="77"/>
      <c r="Z128" s="1294" t="s">
        <v>1406</v>
      </c>
      <c r="AA128" s="1296">
        <v>128</v>
      </c>
    </row>
    <row r="129" spans="1:27" ht="1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68"/>
      <c r="O129" s="3070"/>
      <c r="P129" s="77"/>
      <c r="Q129" s="77"/>
      <c r="R129" s="77"/>
      <c r="S129" s="77"/>
      <c r="T129" s="77"/>
      <c r="U129" s="77"/>
      <c r="V129" s="77"/>
      <c r="W129" s="77"/>
      <c r="X129" s="77"/>
      <c r="Y129" s="77"/>
      <c r="Z129" s="1294" t="s">
        <v>1406</v>
      </c>
      <c r="AA129" s="1296">
        <v>129</v>
      </c>
    </row>
    <row r="130" spans="1:27" ht="1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68"/>
      <c r="O130" s="3070"/>
      <c r="P130" s="77"/>
      <c r="Q130" s="77"/>
      <c r="R130" s="77"/>
      <c r="S130" s="77"/>
      <c r="T130" s="77"/>
      <c r="U130" s="77"/>
      <c r="V130" s="77"/>
      <c r="W130" s="77"/>
      <c r="X130" s="77"/>
      <c r="Y130" s="77"/>
      <c r="Z130" s="1294" t="s">
        <v>1406</v>
      </c>
      <c r="AA130" s="1296">
        <v>130</v>
      </c>
    </row>
    <row r="131" spans="1:27" ht="13.5" customHeight="1">
      <c r="A131" s="236" t="s">
        <v>1396</v>
      </c>
      <c r="B131" s="4565">
        <f>IF(AND(B120=0,B121=0,B122=0,B123=0),"",-B119/(B120+B121+B122+B123))</f>
        <v>1.2318136801078639</v>
      </c>
      <c r="C131" s="4565">
        <f>IF(AND(C120=0,C121=0,C122=0,C123=0),"",-C119/(C120+C121+C122+C123))</f>
        <v>1.2187240173781873</v>
      </c>
      <c r="D131" s="4565">
        <f>IF(AND(D120=0,D121=0,D122=0,D123=0),"",-D119/(D120+D121+D122+D123))</f>
        <v>1.2042401727028385</v>
      </c>
      <c r="E131" s="4565">
        <f>IF(AND(E120=0,E121=0,E122=0,E123=0),"",-E119/(E120+E121+E122+E123))</f>
        <v>1.1883024300062561</v>
      </c>
      <c r="F131" s="4566">
        <f>IF(AND(F120=0,F121=0,F122=0,F123=0),"",-F119/(F120+F121+F122+F123))</f>
        <v>1.1708488603139922</v>
      </c>
      <c r="G131" s="4570"/>
      <c r="H131" s="4570"/>
      <c r="I131" s="4570"/>
      <c r="J131" s="4570"/>
      <c r="K131" s="4570"/>
      <c r="L131" s="77"/>
      <c r="M131" s="77"/>
      <c r="N131" s="3068"/>
      <c r="O131" s="3070"/>
      <c r="P131" s="77"/>
      <c r="Q131" s="77"/>
      <c r="R131" s="77"/>
      <c r="S131" s="77"/>
      <c r="T131" s="77"/>
      <c r="U131" s="77"/>
      <c r="V131" s="77"/>
      <c r="W131" s="77"/>
      <c r="X131" s="77"/>
      <c r="Y131" s="77"/>
      <c r="Z131" s="1294" t="s">
        <v>1406</v>
      </c>
      <c r="AA131" s="1296">
        <v>131</v>
      </c>
    </row>
    <row r="132" spans="1:27" ht="13.5" customHeight="1">
      <c r="A132" s="236" t="s">
        <v>1397</v>
      </c>
      <c r="B132" s="4567">
        <f>IF(OR(B116="Choose mgt fee",B116="Choose One!"),"",(B109+B110+B111+B112+B113) / -(B115+B116+B117))</f>
        <v>1.3052145643009407</v>
      </c>
      <c r="C132" s="4567">
        <f>IF(OR(C116="Choose mgt fee",C116="Choose One!"),"",(C109+C110+C111+C112+C113) / -(C115+C116+C117))</f>
        <v>1.293361787349276</v>
      </c>
      <c r="D132" s="4567">
        <f>IF(OR(D116="Choose mgt fee",D116="Choose One!"),"",(D109+D110+D111+D112+D113) / -(D115+D116+D117))</f>
        <v>1.281609087200327</v>
      </c>
      <c r="E132" s="4567">
        <f>IF(OR(E116="Choose mgt fee",E116="Choose One!"),"",(E109+E110+E111+E112+E113) / -(E115+E116+E117))</f>
        <v>1.2699563782313354</v>
      </c>
      <c r="F132" s="4571">
        <f>IF(OR(F116="Choose mgt fee",F116="Choose One!"),"",(F109+F110+F111+F112+F113) / -(F115+F116+F117))</f>
        <v>1.258403496747694</v>
      </c>
      <c r="G132" s="4570"/>
      <c r="H132" s="4570"/>
      <c r="I132" s="4570"/>
      <c r="J132" s="4570"/>
      <c r="K132" s="4570"/>
      <c r="L132" s="77"/>
      <c r="M132" s="77"/>
      <c r="N132" s="3068"/>
      <c r="O132" s="3070"/>
      <c r="P132" s="77"/>
      <c r="Q132" s="77"/>
      <c r="R132" s="77"/>
      <c r="S132" s="77"/>
      <c r="T132" s="77"/>
      <c r="U132" s="77"/>
      <c r="V132" s="77"/>
      <c r="W132" s="77"/>
      <c r="X132" s="77"/>
      <c r="Y132" s="77"/>
      <c r="Z132" s="1294" t="s">
        <v>1406</v>
      </c>
      <c r="AA132" s="1296">
        <v>132</v>
      </c>
    </row>
    <row r="133" spans="1:27" ht="13.5" customHeight="1">
      <c r="A133" s="236" t="s">
        <v>1398</v>
      </c>
      <c r="B133" s="4569">
        <f>IF('Part II-Sources of Funds'!$I$40="","",-FV('Part II-Sources of Funds'!$K$40/12,12,B120/12,K103))</f>
        <v>1257145.662585998</v>
      </c>
      <c r="C133" s="4569">
        <f>IF('Part II-Sources of Funds'!$I$40="","",-FV('Part II-Sources of Funds'!$K$40/12,12,C120/12,B133))</f>
        <v>1153185.9787671156</v>
      </c>
      <c r="D133" s="4569">
        <f>IF('Part II-Sources of Funds'!$I$40="","",-FV('Part II-Sources of Funds'!$K$40/12,12,D120/12,C133))</f>
        <v>1041711.0409991776</v>
      </c>
      <c r="E133" s="4569">
        <f>IF('Part II-Sources of Funds'!$I$40="","",-FV('Part II-Sources of Funds'!$K$40/12,12,E120/12,D133))</f>
        <v>922177.57096655131</v>
      </c>
      <c r="F133" s="4569">
        <f>IF('Part II-Sources of Funds'!$I$40="","",-FV('Part II-Sources of Funds'!$K$40/12,12,F120/12,E133))</f>
        <v>794003.01672024012</v>
      </c>
      <c r="G133" s="4570"/>
      <c r="H133" s="4570"/>
      <c r="I133" s="4570"/>
      <c r="J133" s="4570"/>
      <c r="K133" s="4570"/>
      <c r="L133" s="77"/>
      <c r="M133" s="77"/>
      <c r="N133" s="3068"/>
      <c r="O133" s="3070"/>
      <c r="P133" s="77"/>
      <c r="Q133" s="77"/>
      <c r="R133" s="77"/>
      <c r="S133" s="77"/>
      <c r="T133" s="77"/>
      <c r="U133" s="77"/>
      <c r="V133" s="77"/>
      <c r="W133" s="77"/>
      <c r="X133" s="77"/>
      <c r="Y133" s="77"/>
      <c r="Z133" s="1294" t="s">
        <v>1406</v>
      </c>
      <c r="AA133" s="1296">
        <v>133</v>
      </c>
    </row>
    <row r="134" spans="1:27" ht="13.5" customHeight="1">
      <c r="A134" s="236" t="s">
        <v>1399</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68"/>
      <c r="O134" s="3070"/>
      <c r="P134" s="77"/>
      <c r="Q134" s="77"/>
      <c r="R134" s="77"/>
      <c r="S134" s="77"/>
      <c r="T134" s="77"/>
      <c r="U134" s="77"/>
      <c r="V134" s="77"/>
      <c r="W134" s="77"/>
      <c r="X134" s="77"/>
      <c r="Y134" s="77"/>
      <c r="Z134" s="1294" t="s">
        <v>1406</v>
      </c>
      <c r="AA134" s="1296">
        <v>134</v>
      </c>
    </row>
    <row r="135" spans="1:27" ht="13.5" customHeight="1">
      <c r="A135" s="236" t="s">
        <v>1400</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68"/>
      <c r="O135" s="3070"/>
      <c r="P135" s="77"/>
      <c r="Q135" s="77"/>
      <c r="R135" s="77"/>
      <c r="S135" s="77"/>
      <c r="T135" s="77"/>
      <c r="U135" s="77"/>
      <c r="V135" s="77"/>
      <c r="W135" s="77"/>
      <c r="X135" s="77"/>
      <c r="Y135" s="77"/>
      <c r="Z135" s="1294" t="s">
        <v>1406</v>
      </c>
      <c r="AA135" s="1296">
        <v>135</v>
      </c>
    </row>
    <row r="136" spans="1:27" ht="13.5" customHeight="1">
      <c r="A136" s="4572" t="s">
        <v>1401</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5"/>
      <c r="O136" s="3057"/>
      <c r="P136" s="77"/>
      <c r="Q136" s="77"/>
      <c r="R136" s="77"/>
      <c r="S136" s="77"/>
      <c r="T136" s="77"/>
      <c r="U136" s="77"/>
      <c r="V136" s="77"/>
      <c r="W136" s="77"/>
      <c r="X136" s="77"/>
      <c r="Y136" s="77"/>
      <c r="Z136" s="1294" t="s">
        <v>1406</v>
      </c>
      <c r="AA136" s="1296">
        <v>136</v>
      </c>
    </row>
    <row r="137" spans="1:27" ht="4.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1407</v>
      </c>
      <c r="B138" s="6"/>
      <c r="C138" s="77"/>
      <c r="D138" s="77"/>
      <c r="E138" s="77"/>
      <c r="F138" s="77"/>
      <c r="G138" s="6" t="s">
        <v>1408</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1409</v>
      </c>
      <c r="B140" s="4573"/>
      <c r="C140" s="4573"/>
      <c r="D140" s="4573"/>
      <c r="E140" s="4573"/>
      <c r="F140" s="4574"/>
      <c r="G140" s="4575"/>
      <c r="H140" s="4576"/>
      <c r="I140" s="4576"/>
      <c r="J140" s="4576"/>
      <c r="K140" s="4577"/>
      <c r="L140" s="77"/>
      <c r="M140" s="77"/>
      <c r="N140" s="2766" t="s">
        <v>302</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disablePrompts="1"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zoomScale="160" zoomScaleNormal="160" workbookViewId="0">
      <selection activeCell="A100" sqref="A100:Q100"/>
    </sheetView>
  </sheetViews>
  <sheetFormatPr defaultColWidth="9.140625" defaultRowHeight="14.1"/>
  <cols>
    <col min="1" max="1" width="5.85546875" style="1574" customWidth="1"/>
    <col min="2" max="2" width="3.7109375" style="1574" customWidth="1"/>
    <col min="3" max="3" width="2.140625" style="1574" customWidth="1"/>
    <col min="4" max="10" width="8.85546875" style="1574" customWidth="1"/>
    <col min="11" max="11" width="7.42578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95">
      <c r="A1" s="3285" t="str">
        <f>CONCATENATE("PART SEVEN - THRESHOLD CRITERIA","  -  ",'Part I-Project Identification'!$O$7," ",'Part I-Project Identification'!$F$26,", ",'Part I-Project Identification'!F27,", ",'Part I-Project Identification'!J27," County")</f>
        <v>PART SEVEN - THRESHOLD CRITERIA  -  2024-0 Abbington Blue Ridge, Blue Ridge, Fannin County</v>
      </c>
      <c r="B1" s="3285"/>
      <c r="C1" s="3285"/>
      <c r="D1" s="3285"/>
      <c r="E1" s="3285"/>
      <c r="F1" s="3285"/>
      <c r="G1" s="3285"/>
      <c r="H1" s="3285"/>
      <c r="I1" s="3285"/>
      <c r="J1" s="3285"/>
      <c r="K1" s="3285"/>
      <c r="L1" s="3285"/>
      <c r="M1" s="3285"/>
      <c r="N1" s="3285"/>
      <c r="O1" s="3285"/>
      <c r="P1" s="3285"/>
      <c r="Q1" s="3285"/>
      <c r="R1" s="1683"/>
      <c r="S1" s="1683"/>
      <c r="T1" s="1683"/>
      <c r="U1" s="1683"/>
      <c r="V1" s="1683"/>
      <c r="W1" s="1683"/>
      <c r="X1" s="1683"/>
      <c r="Y1" s="1683"/>
      <c r="Z1" s="1683"/>
      <c r="AA1" s="2094">
        <v>1</v>
      </c>
      <c r="AB1" s="1683"/>
    </row>
    <row r="2" spans="1:28" s="1557" customFormat="1" ht="12.95">
      <c r="R2" s="1683"/>
      <c r="S2" s="1683"/>
      <c r="T2" s="1683"/>
      <c r="U2" s="1683"/>
      <c r="V2" s="1683"/>
      <c r="W2" s="1683"/>
      <c r="X2" s="1683"/>
      <c r="Y2" s="1683"/>
      <c r="Z2" s="1683"/>
      <c r="AA2" s="2094">
        <v>2</v>
      </c>
      <c r="AB2" s="1683"/>
    </row>
    <row r="3" spans="1:28" s="1557" customFormat="1" ht="12.95">
      <c r="A3" s="3286"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6"/>
      <c r="C3" s="3286"/>
      <c r="D3" s="3286"/>
      <c r="E3" s="3286"/>
      <c r="F3" s="3286"/>
      <c r="G3" s="3286"/>
      <c r="H3" s="3286"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6"/>
      <c r="J3" s="3286"/>
      <c r="K3" s="3286"/>
      <c r="L3" s="3286"/>
      <c r="M3" s="3286"/>
      <c r="N3" s="3286"/>
      <c r="O3" s="1558"/>
      <c r="P3" s="3287" t="s">
        <v>1410</v>
      </c>
      <c r="Q3" s="3289" t="s">
        <v>1411</v>
      </c>
      <c r="R3" s="1683"/>
      <c r="S3" s="1683"/>
      <c r="T3" s="1683"/>
      <c r="U3" s="1683"/>
      <c r="V3" s="1683"/>
      <c r="W3" s="1683"/>
      <c r="X3" s="1683"/>
      <c r="Y3" s="1683"/>
      <c r="Z3" s="1683"/>
      <c r="AA3" s="2094">
        <v>3</v>
      </c>
      <c r="AB3" s="1683"/>
    </row>
    <row r="4" spans="1:28" s="1557" customFormat="1" ht="12.95">
      <c r="A4" s="1559"/>
      <c r="B4" s="3291"/>
      <c r="C4" s="3291"/>
      <c r="D4" s="3291"/>
      <c r="E4" s="1559"/>
      <c r="F4" s="1559"/>
      <c r="G4" s="1559"/>
      <c r="H4" s="1559"/>
      <c r="I4" s="1558"/>
      <c r="J4" s="1560"/>
      <c r="K4" s="1559"/>
      <c r="L4" s="1559"/>
      <c r="M4" s="1559"/>
      <c r="N4" s="1559"/>
      <c r="O4" s="1558"/>
      <c r="P4" s="3287"/>
      <c r="Q4" s="3289"/>
      <c r="R4" s="1683"/>
      <c r="S4" s="1683"/>
      <c r="T4" s="1683"/>
      <c r="U4" s="1683"/>
      <c r="V4" s="1683"/>
      <c r="W4" s="1683"/>
      <c r="X4" s="1683"/>
      <c r="Y4" s="1683"/>
      <c r="Z4" s="1683"/>
      <c r="AA4" s="2094">
        <v>4</v>
      </c>
      <c r="AB4" s="1683"/>
    </row>
    <row r="5" spans="1:28" s="1557" customFormat="1" ht="12.95">
      <c r="A5" s="1558"/>
      <c r="B5" s="1558"/>
      <c r="C5" s="1558"/>
      <c r="D5" s="1558"/>
      <c r="E5" s="3292" t="str">
        <f>'Part I-Project Identification'!$A$6</f>
        <v>2024 May 7</v>
      </c>
      <c r="F5" s="3292"/>
      <c r="G5" s="3292"/>
      <c r="H5" s="3292"/>
      <c r="I5" s="3292"/>
      <c r="J5" s="1560"/>
      <c r="K5" s="1559"/>
      <c r="L5" s="1559"/>
      <c r="M5" s="1559"/>
      <c r="N5" s="1559"/>
      <c r="O5" s="1558"/>
      <c r="P5" s="3288"/>
      <c r="Q5" s="3290"/>
      <c r="R5" s="1683"/>
      <c r="S5" s="1683"/>
      <c r="T5" s="1683"/>
      <c r="U5" s="1683"/>
      <c r="V5" s="1683"/>
      <c r="W5" s="1683"/>
      <c r="X5" s="1683"/>
      <c r="Y5" s="1683"/>
      <c r="Z5" s="1683"/>
      <c r="AA5" s="2094">
        <v>5</v>
      </c>
      <c r="AB5" s="1683"/>
    </row>
    <row r="6" spans="1:28" s="1557" customFormat="1" ht="12.9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79" t="s">
        <v>1412</v>
      </c>
      <c r="B7" s="3279"/>
      <c r="C7" s="3279"/>
      <c r="D7" s="3279"/>
      <c r="E7" s="3279"/>
      <c r="F7" s="3279"/>
      <c r="G7" s="3279"/>
      <c r="H7" s="3279"/>
      <c r="I7" s="3279"/>
      <c r="J7" s="3279"/>
      <c r="K7" s="3279"/>
      <c r="L7" s="3279"/>
      <c r="M7" s="3279"/>
      <c r="N7" s="3279"/>
      <c r="O7" s="3279"/>
      <c r="P7" s="3279"/>
      <c r="Q7" s="3279"/>
      <c r="R7" s="1683"/>
      <c r="S7" s="1683"/>
      <c r="T7" s="1683"/>
      <c r="U7" s="1683"/>
      <c r="V7" s="1683"/>
      <c r="W7" s="1683"/>
      <c r="X7" s="1683"/>
      <c r="Y7" s="1683"/>
      <c r="Z7" s="1683"/>
      <c r="AA7" s="2094">
        <v>7</v>
      </c>
      <c r="AB7" s="1683"/>
    </row>
    <row r="8" spans="1:28" s="1557" customFormat="1" ht="12.9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1413</v>
      </c>
      <c r="B9" s="1565"/>
      <c r="C9" s="1565"/>
      <c r="D9" s="1565"/>
      <c r="E9" s="1565"/>
      <c r="F9" s="1565"/>
      <c r="G9" s="1565"/>
      <c r="H9" s="1565"/>
      <c r="I9" s="1566"/>
      <c r="J9" s="1566"/>
      <c r="K9" s="1567"/>
      <c r="L9" s="1567"/>
      <c r="M9" s="1567"/>
      <c r="N9" s="1567"/>
      <c r="O9" s="1567"/>
      <c r="P9" s="3280"/>
      <c r="Q9" s="3281"/>
      <c r="R9" s="1684"/>
      <c r="S9" s="1684"/>
      <c r="T9" s="1684"/>
      <c r="U9" s="1684"/>
      <c r="V9" s="1684"/>
      <c r="W9" s="1684"/>
      <c r="X9" s="1684"/>
      <c r="Y9" s="1684"/>
      <c r="Z9" s="1684"/>
      <c r="AA9" s="2095">
        <v>9</v>
      </c>
      <c r="AB9" s="1684"/>
    </row>
    <row r="10" spans="1:28" s="1568" customFormat="1">
      <c r="A10" s="1569" t="s">
        <v>1414</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2" t="s">
        <v>1415</v>
      </c>
      <c r="B11" s="3283"/>
      <c r="C11" s="3283"/>
      <c r="D11" s="3283"/>
      <c r="E11" s="3283"/>
      <c r="F11" s="3283"/>
      <c r="G11" s="3283"/>
      <c r="H11" s="3283"/>
      <c r="I11" s="3283"/>
      <c r="J11" s="3283"/>
      <c r="K11" s="3283"/>
      <c r="L11" s="3283"/>
      <c r="M11" s="3283"/>
      <c r="N11" s="3283"/>
      <c r="O11" s="3283"/>
      <c r="P11" s="3283"/>
      <c r="Q11" s="3284"/>
      <c r="R11" s="1684"/>
      <c r="S11" s="1684"/>
      <c r="T11" s="1684"/>
      <c r="U11" s="1684"/>
      <c r="V11" s="1684"/>
      <c r="W11" s="1684"/>
      <c r="X11" s="1684"/>
      <c r="Y11" s="1684"/>
      <c r="Z11" s="1684"/>
      <c r="AA11" s="2094">
        <v>11</v>
      </c>
      <c r="AB11" s="1684"/>
    </row>
    <row r="12" spans="1:28" s="1568" customFormat="1">
      <c r="A12" s="3271" t="s">
        <v>1416</v>
      </c>
      <c r="B12" s="3272"/>
      <c r="C12" s="3272"/>
      <c r="D12" s="3272"/>
      <c r="E12" s="3272"/>
      <c r="F12" s="3272"/>
      <c r="G12" s="3272"/>
      <c r="H12" s="3272"/>
      <c r="I12" s="3272"/>
      <c r="J12" s="3272"/>
      <c r="K12" s="3272"/>
      <c r="L12" s="3272"/>
      <c r="M12" s="3272"/>
      <c r="N12" s="3272"/>
      <c r="O12" s="3272"/>
      <c r="P12" s="3272"/>
      <c r="Q12" s="3273"/>
      <c r="R12" s="1684"/>
      <c r="S12" s="1684"/>
      <c r="T12" s="1684"/>
      <c r="U12" s="1684"/>
      <c r="V12" s="1684"/>
      <c r="W12" s="1684"/>
      <c r="X12" s="1684"/>
      <c r="Y12" s="1684"/>
      <c r="Z12" s="1684"/>
      <c r="AA12" s="2094">
        <v>12</v>
      </c>
      <c r="AB12" s="1684"/>
    </row>
    <row r="13" spans="1:28" s="1568" customFormat="1">
      <c r="A13" s="3271" t="s">
        <v>1417</v>
      </c>
      <c r="B13" s="3272"/>
      <c r="C13" s="3272"/>
      <c r="D13" s="3272"/>
      <c r="E13" s="3272"/>
      <c r="F13" s="3272"/>
      <c r="G13" s="3272"/>
      <c r="H13" s="3272"/>
      <c r="I13" s="3272"/>
      <c r="J13" s="3272"/>
      <c r="K13" s="3272"/>
      <c r="L13" s="3272"/>
      <c r="M13" s="3272"/>
      <c r="N13" s="3272"/>
      <c r="O13" s="3272"/>
      <c r="P13" s="3272"/>
      <c r="Q13" s="3273"/>
      <c r="R13" s="1684"/>
      <c r="S13" s="1684"/>
      <c r="T13" s="1684"/>
      <c r="U13" s="1684"/>
      <c r="V13" s="1684"/>
      <c r="W13" s="1684"/>
      <c r="X13" s="1684"/>
      <c r="Y13" s="1684"/>
      <c r="Z13" s="1684"/>
      <c r="AA13" s="2094">
        <v>13</v>
      </c>
      <c r="AB13" s="1684"/>
    </row>
    <row r="14" spans="1:28" s="1568" customFormat="1">
      <c r="A14" s="3271" t="s">
        <v>1418</v>
      </c>
      <c r="B14" s="3272"/>
      <c r="C14" s="3272"/>
      <c r="D14" s="3272"/>
      <c r="E14" s="3272"/>
      <c r="F14" s="3272"/>
      <c r="G14" s="3272"/>
      <c r="H14" s="3272"/>
      <c r="I14" s="3272"/>
      <c r="J14" s="3272"/>
      <c r="K14" s="3272"/>
      <c r="L14" s="3272"/>
      <c r="M14" s="3272"/>
      <c r="N14" s="3272"/>
      <c r="O14" s="3272"/>
      <c r="P14" s="3272"/>
      <c r="Q14" s="3273"/>
      <c r="R14" s="1684"/>
      <c r="S14" s="1684"/>
      <c r="T14" s="1684"/>
      <c r="U14" s="1684"/>
      <c r="V14" s="1684"/>
      <c r="W14" s="1684"/>
      <c r="X14" s="1684"/>
      <c r="Y14" s="1684"/>
      <c r="Z14" s="1684"/>
      <c r="AA14" s="2094">
        <v>14</v>
      </c>
      <c r="AB14" s="1684"/>
    </row>
    <row r="15" spans="1:28" s="1568" customFormat="1">
      <c r="A15" s="3271" t="s">
        <v>1419</v>
      </c>
      <c r="B15" s="3272"/>
      <c r="C15" s="3272"/>
      <c r="D15" s="3272"/>
      <c r="E15" s="3272"/>
      <c r="F15" s="3272"/>
      <c r="G15" s="3272"/>
      <c r="H15" s="3272"/>
      <c r="I15" s="3272"/>
      <c r="J15" s="3272"/>
      <c r="K15" s="3272"/>
      <c r="L15" s="3272"/>
      <c r="M15" s="3272"/>
      <c r="N15" s="3272"/>
      <c r="O15" s="3272"/>
      <c r="P15" s="3272"/>
      <c r="Q15" s="3273"/>
      <c r="R15" s="1684"/>
      <c r="S15" s="1684"/>
      <c r="T15" s="1684"/>
      <c r="U15" s="1684"/>
      <c r="V15" s="1684"/>
      <c r="W15" s="1684"/>
      <c r="X15" s="1684"/>
      <c r="Y15" s="1684"/>
      <c r="Z15" s="1684"/>
      <c r="AA15" s="2094">
        <v>15</v>
      </c>
      <c r="AB15" s="1684"/>
    </row>
    <row r="16" spans="1:28" s="1568" customFormat="1">
      <c r="A16" s="3271" t="s">
        <v>1420</v>
      </c>
      <c r="B16" s="3272"/>
      <c r="C16" s="3272"/>
      <c r="D16" s="3272"/>
      <c r="E16" s="3272"/>
      <c r="F16" s="3272"/>
      <c r="G16" s="3272"/>
      <c r="H16" s="3272"/>
      <c r="I16" s="3272"/>
      <c r="J16" s="3272"/>
      <c r="K16" s="3272"/>
      <c r="L16" s="3272"/>
      <c r="M16" s="3272"/>
      <c r="N16" s="3272"/>
      <c r="O16" s="3272"/>
      <c r="P16" s="3272"/>
      <c r="Q16" s="3273"/>
      <c r="R16" s="1684"/>
      <c r="S16" s="1684"/>
      <c r="T16" s="1684"/>
      <c r="U16" s="1684"/>
      <c r="V16" s="1684"/>
      <c r="W16" s="1684"/>
      <c r="X16" s="1684"/>
      <c r="Y16" s="1684"/>
      <c r="Z16" s="1684"/>
      <c r="AA16" s="2094">
        <v>16</v>
      </c>
      <c r="AB16" s="1684"/>
    </row>
    <row r="17" spans="1:28" s="1568" customFormat="1">
      <c r="A17" s="3271" t="s">
        <v>1421</v>
      </c>
      <c r="B17" s="3272"/>
      <c r="C17" s="3272"/>
      <c r="D17" s="3272"/>
      <c r="E17" s="3272"/>
      <c r="F17" s="3272"/>
      <c r="G17" s="3272"/>
      <c r="H17" s="3272"/>
      <c r="I17" s="3272"/>
      <c r="J17" s="3272"/>
      <c r="K17" s="3272"/>
      <c r="L17" s="3272"/>
      <c r="M17" s="3272"/>
      <c r="N17" s="3272"/>
      <c r="O17" s="3272"/>
      <c r="P17" s="3272"/>
      <c r="Q17" s="3273"/>
      <c r="R17" s="1684"/>
      <c r="S17" s="1684"/>
      <c r="T17" s="1684"/>
      <c r="U17" s="1684"/>
      <c r="V17" s="1684"/>
      <c r="W17" s="1684"/>
      <c r="X17" s="1684"/>
      <c r="Y17" s="1684"/>
      <c r="Z17" s="1684"/>
      <c r="AA17" s="2094">
        <v>17</v>
      </c>
      <c r="AB17" s="1684"/>
    </row>
    <row r="18" spans="1:28" s="1568" customFormat="1">
      <c r="A18" s="3271" t="s">
        <v>1422</v>
      </c>
      <c r="B18" s="3272"/>
      <c r="C18" s="3272"/>
      <c r="D18" s="3272"/>
      <c r="E18" s="3272"/>
      <c r="F18" s="3272"/>
      <c r="G18" s="3272"/>
      <c r="H18" s="3272"/>
      <c r="I18" s="3272"/>
      <c r="J18" s="3272"/>
      <c r="K18" s="3272"/>
      <c r="L18" s="3272"/>
      <c r="M18" s="3272"/>
      <c r="N18" s="3272"/>
      <c r="O18" s="3272"/>
      <c r="P18" s="3272"/>
      <c r="Q18" s="3273"/>
      <c r="R18" s="1684"/>
      <c r="S18" s="1684"/>
      <c r="T18" s="1684"/>
      <c r="U18" s="1684"/>
      <c r="V18" s="1684"/>
      <c r="W18" s="1684"/>
      <c r="X18" s="1684"/>
      <c r="Y18" s="1684"/>
      <c r="Z18" s="1684"/>
      <c r="AA18" s="2095">
        <v>18</v>
      </c>
      <c r="AB18" s="1684"/>
    </row>
    <row r="19" spans="1:28" s="1568" customFormat="1">
      <c r="A19" s="3271" t="s">
        <v>1423</v>
      </c>
      <c r="B19" s="3272"/>
      <c r="C19" s="3272"/>
      <c r="D19" s="3272"/>
      <c r="E19" s="3272"/>
      <c r="F19" s="3272"/>
      <c r="G19" s="3272"/>
      <c r="H19" s="3272"/>
      <c r="I19" s="3272"/>
      <c r="J19" s="3272"/>
      <c r="K19" s="3272"/>
      <c r="L19" s="3272"/>
      <c r="M19" s="3272"/>
      <c r="N19" s="3272"/>
      <c r="O19" s="3272"/>
      <c r="P19" s="3272"/>
      <c r="Q19" s="3273"/>
      <c r="R19" s="1684"/>
      <c r="S19" s="1684"/>
      <c r="T19" s="1684"/>
      <c r="U19" s="1684"/>
      <c r="V19" s="1684"/>
      <c r="W19" s="1684"/>
      <c r="X19" s="1684"/>
      <c r="Y19" s="1684"/>
      <c r="Z19" s="1684"/>
      <c r="AA19" s="2094">
        <v>19</v>
      </c>
      <c r="AB19" s="1684"/>
    </row>
    <row r="20" spans="1:28" s="1568" customFormat="1">
      <c r="A20" s="3271" t="s">
        <v>1424</v>
      </c>
      <c r="B20" s="3272"/>
      <c r="C20" s="3272"/>
      <c r="D20" s="3272"/>
      <c r="E20" s="3272"/>
      <c r="F20" s="3272"/>
      <c r="G20" s="3272"/>
      <c r="H20" s="3272"/>
      <c r="I20" s="3272"/>
      <c r="J20" s="3272"/>
      <c r="K20" s="3272"/>
      <c r="L20" s="3272"/>
      <c r="M20" s="3272"/>
      <c r="N20" s="3272"/>
      <c r="O20" s="3272"/>
      <c r="P20" s="3272"/>
      <c r="Q20" s="3273"/>
      <c r="R20" s="1684"/>
      <c r="S20" s="1684"/>
      <c r="T20" s="1684"/>
      <c r="U20" s="1684"/>
      <c r="V20" s="1684"/>
      <c r="W20" s="1684"/>
      <c r="X20" s="1684"/>
      <c r="Y20" s="1684"/>
      <c r="Z20" s="1684"/>
      <c r="AA20" s="2094">
        <v>20</v>
      </c>
      <c r="AB20" s="1684"/>
    </row>
    <row r="21" spans="1:28" s="1568" customFormat="1">
      <c r="A21" s="3271" t="s">
        <v>1425</v>
      </c>
      <c r="B21" s="3272"/>
      <c r="C21" s="3272"/>
      <c r="D21" s="3272"/>
      <c r="E21" s="3272"/>
      <c r="F21" s="3272"/>
      <c r="G21" s="3272"/>
      <c r="H21" s="3272"/>
      <c r="I21" s="3272"/>
      <c r="J21" s="3272"/>
      <c r="K21" s="3272"/>
      <c r="L21" s="3272"/>
      <c r="M21" s="3272"/>
      <c r="N21" s="3272"/>
      <c r="O21" s="3272"/>
      <c r="P21" s="3272"/>
      <c r="Q21" s="3273"/>
      <c r="R21" s="1684"/>
      <c r="S21" s="1684"/>
      <c r="T21" s="1684"/>
      <c r="U21" s="1684"/>
      <c r="V21" s="1684"/>
      <c r="W21" s="1684"/>
      <c r="X21" s="1684"/>
      <c r="Y21" s="1684"/>
      <c r="Z21" s="1684"/>
      <c r="AA21" s="2094">
        <v>21</v>
      </c>
      <c r="AB21" s="1684"/>
    </row>
    <row r="22" spans="1:28" s="1568" customFormat="1">
      <c r="A22" s="3271" t="s">
        <v>1426</v>
      </c>
      <c r="B22" s="3272"/>
      <c r="C22" s="3272"/>
      <c r="D22" s="3272"/>
      <c r="E22" s="3272"/>
      <c r="F22" s="3272"/>
      <c r="G22" s="3272"/>
      <c r="H22" s="3272"/>
      <c r="I22" s="3272"/>
      <c r="J22" s="3272"/>
      <c r="K22" s="3272"/>
      <c r="L22" s="3272"/>
      <c r="M22" s="3272"/>
      <c r="N22" s="3272"/>
      <c r="O22" s="3272"/>
      <c r="P22" s="3272"/>
      <c r="Q22" s="3273"/>
      <c r="R22" s="1684"/>
      <c r="S22" s="1684"/>
      <c r="T22" s="1684"/>
      <c r="U22" s="1684"/>
      <c r="V22" s="1684"/>
      <c r="W22" s="1684"/>
      <c r="X22" s="1684"/>
      <c r="Y22" s="1684"/>
      <c r="Z22" s="1684"/>
      <c r="AA22" s="2094">
        <v>22</v>
      </c>
      <c r="AB22" s="1684"/>
    </row>
    <row r="23" spans="1:28" s="1568" customFormat="1">
      <c r="A23" s="3271" t="s">
        <v>1427</v>
      </c>
      <c r="B23" s="3272"/>
      <c r="C23" s="3272"/>
      <c r="D23" s="3272"/>
      <c r="E23" s="3272"/>
      <c r="F23" s="3272"/>
      <c r="G23" s="3272"/>
      <c r="H23" s="3272"/>
      <c r="I23" s="3272"/>
      <c r="J23" s="3272"/>
      <c r="K23" s="3272"/>
      <c r="L23" s="3272"/>
      <c r="M23" s="3272"/>
      <c r="N23" s="3272"/>
      <c r="O23" s="3272"/>
      <c r="P23" s="3272"/>
      <c r="Q23" s="3273"/>
      <c r="R23" s="1684"/>
      <c r="S23" s="1684"/>
      <c r="T23" s="1684"/>
      <c r="U23" s="1684"/>
      <c r="V23" s="1684"/>
      <c r="W23" s="1684"/>
      <c r="X23" s="1684"/>
      <c r="Y23" s="1684"/>
      <c r="Z23" s="1684"/>
      <c r="AA23" s="2094">
        <v>23</v>
      </c>
      <c r="AB23" s="1684"/>
    </row>
    <row r="24" spans="1:28" s="1568" customFormat="1">
      <c r="A24" s="3271" t="s">
        <v>1428</v>
      </c>
      <c r="B24" s="3272"/>
      <c r="C24" s="3272"/>
      <c r="D24" s="3272"/>
      <c r="E24" s="3272"/>
      <c r="F24" s="3272"/>
      <c r="G24" s="3272"/>
      <c r="H24" s="3272"/>
      <c r="I24" s="3272"/>
      <c r="J24" s="3272"/>
      <c r="K24" s="3272"/>
      <c r="L24" s="3272"/>
      <c r="M24" s="3272"/>
      <c r="N24" s="3272"/>
      <c r="O24" s="3272"/>
      <c r="P24" s="3272"/>
      <c r="Q24" s="3273"/>
      <c r="R24" s="1684"/>
      <c r="S24" s="1684"/>
      <c r="T24" s="1684"/>
      <c r="U24" s="1684"/>
      <c r="V24" s="1684"/>
      <c r="W24" s="1684"/>
      <c r="X24" s="1684"/>
      <c r="Y24" s="1684"/>
      <c r="Z24" s="1684"/>
      <c r="AA24" s="2094">
        <v>24</v>
      </c>
      <c r="AB24" s="1684"/>
    </row>
    <row r="25" spans="1:28" s="1568" customFormat="1">
      <c r="A25" s="3271" t="s">
        <v>1429</v>
      </c>
      <c r="B25" s="3272"/>
      <c r="C25" s="3272"/>
      <c r="D25" s="3272"/>
      <c r="E25" s="3272"/>
      <c r="F25" s="3272"/>
      <c r="G25" s="3272"/>
      <c r="H25" s="3272"/>
      <c r="I25" s="3272"/>
      <c r="J25" s="3272"/>
      <c r="K25" s="3272"/>
      <c r="L25" s="3272"/>
      <c r="M25" s="3272"/>
      <c r="N25" s="3272"/>
      <c r="O25" s="3272"/>
      <c r="P25" s="3272"/>
      <c r="Q25" s="3273"/>
      <c r="R25" s="1684"/>
      <c r="S25" s="1684"/>
      <c r="T25" s="1684"/>
      <c r="U25" s="1684"/>
      <c r="V25" s="1684"/>
      <c r="W25" s="1684"/>
      <c r="X25" s="1684"/>
      <c r="Y25" s="1684"/>
      <c r="Z25" s="1684"/>
      <c r="AA25" s="2094">
        <v>25</v>
      </c>
      <c r="AB25" s="1684"/>
    </row>
    <row r="26" spans="1:28" s="1568" customFormat="1">
      <c r="A26" s="3271" t="s">
        <v>1430</v>
      </c>
      <c r="B26" s="3272"/>
      <c r="C26" s="3272"/>
      <c r="D26" s="3272"/>
      <c r="E26" s="3272"/>
      <c r="F26" s="3272"/>
      <c r="G26" s="3272"/>
      <c r="H26" s="3272"/>
      <c r="I26" s="3272"/>
      <c r="J26" s="3272"/>
      <c r="K26" s="3272"/>
      <c r="L26" s="3272"/>
      <c r="M26" s="3272"/>
      <c r="N26" s="3272"/>
      <c r="O26" s="3272"/>
      <c r="P26" s="3272"/>
      <c r="Q26" s="3273"/>
      <c r="R26" s="1684"/>
      <c r="S26" s="1684"/>
      <c r="T26" s="1684"/>
      <c r="U26" s="1684"/>
      <c r="V26" s="1684"/>
      <c r="W26" s="1684"/>
      <c r="X26" s="1684"/>
      <c r="Y26" s="1684"/>
      <c r="Z26" s="1684"/>
      <c r="AA26" s="2094">
        <v>26</v>
      </c>
      <c r="AB26" s="1684"/>
    </row>
    <row r="27" spans="1:28" s="1568" customFormat="1">
      <c r="A27" s="3271" t="s">
        <v>1431</v>
      </c>
      <c r="B27" s="3272"/>
      <c r="C27" s="3272"/>
      <c r="D27" s="3272"/>
      <c r="E27" s="3272"/>
      <c r="F27" s="3272"/>
      <c r="G27" s="3272"/>
      <c r="H27" s="3272"/>
      <c r="I27" s="3272"/>
      <c r="J27" s="3272"/>
      <c r="K27" s="3272"/>
      <c r="L27" s="3272"/>
      <c r="M27" s="3272"/>
      <c r="N27" s="3272"/>
      <c r="O27" s="3272"/>
      <c r="P27" s="3272"/>
      <c r="Q27" s="3273"/>
      <c r="R27" s="1684"/>
      <c r="S27" s="1684"/>
      <c r="T27" s="1684"/>
      <c r="U27" s="1684"/>
      <c r="V27" s="1684"/>
      <c r="W27" s="1684"/>
      <c r="X27" s="1684"/>
      <c r="Y27" s="1684"/>
      <c r="Z27" s="1684"/>
      <c r="AA27" s="2095">
        <v>27</v>
      </c>
      <c r="AB27" s="1684"/>
    </row>
    <row r="28" spans="1:28" s="1568" customFormat="1">
      <c r="A28" s="3274" t="s">
        <v>1432</v>
      </c>
      <c r="B28" s="3275"/>
      <c r="C28" s="3275"/>
      <c r="D28" s="3275"/>
      <c r="E28" s="3275"/>
      <c r="F28" s="3275"/>
      <c r="G28" s="3275"/>
      <c r="H28" s="3275"/>
      <c r="I28" s="3275"/>
      <c r="J28" s="3275"/>
      <c r="K28" s="3275"/>
      <c r="L28" s="3275"/>
      <c r="M28" s="3275"/>
      <c r="N28" s="3275"/>
      <c r="O28" s="3275"/>
      <c r="P28" s="3275"/>
      <c r="Q28" s="3276"/>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1433</v>
      </c>
      <c r="C31" s="1573"/>
      <c r="D31" s="1573"/>
      <c r="E31" s="1573"/>
      <c r="F31" s="1573"/>
      <c r="G31" s="1573"/>
      <c r="H31" s="2551"/>
      <c r="I31" s="1575"/>
      <c r="J31" s="1575"/>
      <c r="K31" s="1575"/>
      <c r="L31" s="1572"/>
      <c r="M31" s="1572"/>
      <c r="N31" s="2551"/>
      <c r="O31" s="1576" t="s">
        <v>1434</v>
      </c>
      <c r="P31" s="3277"/>
      <c r="Q31" s="3278"/>
      <c r="AA31" s="2094">
        <v>31</v>
      </c>
    </row>
    <row r="32" spans="1:28" ht="15" customHeight="1">
      <c r="A32" s="2551"/>
      <c r="B32" s="1578" t="s">
        <v>1435</v>
      </c>
      <c r="C32" s="1578"/>
      <c r="D32" s="1578"/>
      <c r="E32" s="1578"/>
      <c r="F32" s="1578"/>
      <c r="G32" s="1575"/>
      <c r="H32" s="1575"/>
      <c r="I32" s="1575"/>
      <c r="J32" s="1575"/>
      <c r="K32" s="1572"/>
      <c r="L32" s="1572"/>
      <c r="M32" s="1572"/>
      <c r="N32" s="1572"/>
      <c r="O32" s="1572"/>
      <c r="P32" s="1572"/>
      <c r="Q32" s="2551"/>
      <c r="AA32" s="2094">
        <v>32</v>
      </c>
    </row>
    <row r="33" spans="1:27" ht="123" customHeight="1">
      <c r="A33" s="3134" t="s">
        <v>1436</v>
      </c>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1437</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1438</v>
      </c>
      <c r="C38" s="1573"/>
      <c r="D38" s="1573"/>
      <c r="E38" s="2543"/>
      <c r="F38" s="2543"/>
      <c r="G38" s="2550"/>
      <c r="H38" s="2551"/>
      <c r="I38" s="2551"/>
      <c r="J38" s="2551"/>
      <c r="K38" s="2551"/>
      <c r="L38" s="2551"/>
      <c r="M38" s="2551"/>
      <c r="N38" s="2551"/>
      <c r="O38" s="1576" t="s">
        <v>1434</v>
      </c>
      <c r="P38" s="3140"/>
      <c r="Q38" s="3189"/>
      <c r="AA38" s="2094">
        <v>38</v>
      </c>
    </row>
    <row r="39" spans="1:27" ht="18.75" customHeight="1">
      <c r="A39" s="2546"/>
      <c r="B39" s="3270" t="s">
        <v>1439</v>
      </c>
      <c r="C39" s="3270"/>
      <c r="D39" s="3270"/>
      <c r="E39" s="3270"/>
      <c r="F39" s="3270"/>
      <c r="G39" s="3270"/>
      <c r="H39" s="3270"/>
      <c r="I39" s="3270"/>
      <c r="J39" s="3270"/>
      <c r="K39" s="3270"/>
      <c r="L39" s="3270"/>
      <c r="M39" s="3270"/>
      <c r="N39" s="3270"/>
      <c r="O39" s="3270"/>
      <c r="P39" s="3151" t="s">
        <v>67</v>
      </c>
      <c r="Q39" s="3152"/>
      <c r="AA39" s="2094">
        <v>39</v>
      </c>
    </row>
    <row r="40" spans="1:27" ht="15" customHeight="1">
      <c r="A40" s="2551"/>
      <c r="B40" s="1580" t="s">
        <v>1440</v>
      </c>
      <c r="C40" s="2551"/>
      <c r="D40" s="1580"/>
      <c r="E40" s="1580"/>
      <c r="F40" s="1580"/>
      <c r="G40" s="1580"/>
      <c r="H40" s="2550"/>
      <c r="I40" s="1575"/>
      <c r="J40" s="1575"/>
      <c r="K40" s="2551"/>
      <c r="L40" s="2551"/>
      <c r="M40" s="2551"/>
      <c r="N40" s="2551"/>
      <c r="O40" s="2551"/>
      <c r="P40" s="2551"/>
      <c r="Q40" s="2551"/>
      <c r="AA40" s="2094">
        <v>40</v>
      </c>
    </row>
    <row r="41" spans="1:27" ht="20.25" customHeight="1">
      <c r="A41" s="3178" t="s">
        <v>1441</v>
      </c>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1437</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1442</v>
      </c>
      <c r="C46" s="2546"/>
      <c r="D46" s="2543"/>
      <c r="E46" s="2543"/>
      <c r="F46" s="2543"/>
      <c r="G46" s="2543"/>
      <c r="H46" s="2543"/>
      <c r="I46" s="2543"/>
      <c r="J46" s="2543"/>
      <c r="K46" s="2551"/>
      <c r="L46" s="1581"/>
      <c r="M46" s="1582"/>
      <c r="N46" s="2551"/>
      <c r="O46" s="1576" t="s">
        <v>1434</v>
      </c>
      <c r="P46" s="3140"/>
      <c r="Q46" s="3148"/>
      <c r="AA46" s="2094">
        <v>46</v>
      </c>
    </row>
    <row r="47" spans="1:27" ht="20.25" customHeight="1">
      <c r="A47" s="1583"/>
      <c r="B47" s="2550" t="s">
        <v>1443</v>
      </c>
      <c r="C47" s="2546"/>
      <c r="D47" s="2543"/>
      <c r="E47" s="2543"/>
      <c r="F47" s="2543"/>
      <c r="G47" s="2543"/>
      <c r="H47" s="2543"/>
      <c r="I47" s="2543"/>
      <c r="J47" s="2543"/>
      <c r="K47" s="2551"/>
      <c r="L47" s="1581"/>
      <c r="M47" s="1582"/>
      <c r="N47" s="2551"/>
      <c r="O47" s="1576"/>
      <c r="P47" s="3151" t="s">
        <v>67</v>
      </c>
      <c r="Q47" s="3152"/>
      <c r="AA47" s="2094">
        <v>47</v>
      </c>
    </row>
    <row r="48" spans="1:27" ht="15" customHeight="1">
      <c r="A48" s="2551"/>
      <c r="B48" s="1580" t="s">
        <v>1440</v>
      </c>
      <c r="C48" s="2551"/>
      <c r="D48" s="1580"/>
      <c r="E48" s="1580"/>
      <c r="F48" s="1580"/>
      <c r="G48" s="1580"/>
      <c r="H48" s="2550"/>
      <c r="I48" s="1575"/>
      <c r="J48" s="1575"/>
      <c r="K48" s="1578" t="s">
        <v>1437</v>
      </c>
      <c r="L48" s="1572"/>
      <c r="M48" s="1572"/>
      <c r="N48" s="1572"/>
      <c r="O48" s="1572"/>
      <c r="P48" s="1572"/>
      <c r="Q48" s="1572"/>
      <c r="AA48" s="2094">
        <v>48</v>
      </c>
    </row>
    <row r="49" spans="1:27" ht="20.25" customHeight="1">
      <c r="A49" s="3134" t="s">
        <v>1444</v>
      </c>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52</v>
      </c>
      <c r="B52" s="2546" t="s">
        <v>1445</v>
      </c>
      <c r="C52" s="2546"/>
      <c r="D52" s="2543"/>
      <c r="E52" s="2543"/>
      <c r="F52" s="2543"/>
      <c r="G52" s="2543"/>
      <c r="H52" s="1584"/>
      <c r="I52" s="2551"/>
      <c r="J52" s="1583"/>
      <c r="K52" s="1566"/>
      <c r="L52" s="1583"/>
      <c r="M52" s="1585"/>
      <c r="N52" s="2551"/>
      <c r="O52" s="1576" t="s">
        <v>1434</v>
      </c>
      <c r="P52" s="3140"/>
      <c r="Q52" s="3148"/>
      <c r="AA52" s="2094">
        <v>52</v>
      </c>
    </row>
    <row r="53" spans="1:27" ht="27.95" customHeight="1">
      <c r="A53" s="1583"/>
      <c r="B53" s="3142" t="s">
        <v>1446</v>
      </c>
      <c r="C53" s="3142"/>
      <c r="D53" s="3142"/>
      <c r="E53" s="3142"/>
      <c r="F53" s="3142"/>
      <c r="G53" s="3142"/>
      <c r="H53" s="3143"/>
      <c r="I53" s="3199" t="s">
        <v>1447</v>
      </c>
      <c r="J53" s="3200"/>
      <c r="K53" s="3200"/>
      <c r="L53" s="3200"/>
      <c r="M53" s="3200"/>
      <c r="N53" s="3200"/>
      <c r="O53" s="3200"/>
      <c r="P53" s="3200"/>
      <c r="Q53" s="3201"/>
      <c r="AA53" s="2094">
        <v>53</v>
      </c>
    </row>
    <row r="54" spans="1:27" ht="15.95" customHeight="1">
      <c r="A54" s="1583"/>
      <c r="B54" s="2551" t="s">
        <v>1448</v>
      </c>
      <c r="C54" s="2551"/>
      <c r="D54" s="2552"/>
      <c r="E54" s="2552"/>
      <c r="F54" s="2552"/>
      <c r="G54" s="2551"/>
      <c r="H54" s="2551"/>
      <c r="I54" s="3260">
        <v>99.2</v>
      </c>
      <c r="J54" s="3268"/>
      <c r="K54" s="3269"/>
      <c r="L54" s="2544"/>
      <c r="M54" s="1586"/>
      <c r="N54" s="1586"/>
      <c r="O54" s="1586"/>
      <c r="P54" s="1586"/>
      <c r="Q54" s="1572"/>
      <c r="AA54" s="2095">
        <v>54</v>
      </c>
    </row>
    <row r="55" spans="1:27" ht="15.95" customHeight="1">
      <c r="A55" s="1583"/>
      <c r="B55" s="2551" t="s">
        <v>1449</v>
      </c>
      <c r="C55" s="2551"/>
      <c r="D55" s="2552"/>
      <c r="E55" s="2552"/>
      <c r="F55" s="2552"/>
      <c r="G55" s="2551"/>
      <c r="H55" s="2544" t="s">
        <v>1450</v>
      </c>
      <c r="I55" s="3260">
        <v>8.5</v>
      </c>
      <c r="J55" s="3268"/>
      <c r="K55" s="3269"/>
      <c r="L55" s="1587"/>
      <c r="M55" s="1588" t="s">
        <v>1451</v>
      </c>
      <c r="N55" s="3260">
        <v>0.5</v>
      </c>
      <c r="O55" s="3269"/>
      <c r="P55" s="1577"/>
      <c r="Q55" s="1577"/>
      <c r="AA55" s="2094">
        <v>55</v>
      </c>
    </row>
    <row r="56" spans="1:27" ht="15" customHeight="1">
      <c r="A56" s="2551"/>
      <c r="B56" s="1589" t="s">
        <v>1440</v>
      </c>
      <c r="C56" s="2551"/>
      <c r="D56" s="1589"/>
      <c r="E56" s="1589"/>
      <c r="F56" s="1589"/>
      <c r="G56" s="1589"/>
      <c r="H56" s="2550"/>
      <c r="I56" s="1575"/>
      <c r="J56" s="1575"/>
      <c r="K56" s="1575"/>
      <c r="L56" s="1572"/>
      <c r="M56" s="1572"/>
      <c r="N56" s="1572"/>
      <c r="O56" s="1572"/>
      <c r="P56" s="1572"/>
      <c r="Q56" s="1572"/>
      <c r="AA56" s="2094">
        <v>56</v>
      </c>
    </row>
    <row r="57" spans="1:27" ht="20.25" customHeight="1">
      <c r="A57" s="3134" t="s">
        <v>1452</v>
      </c>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1437</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70</v>
      </c>
      <c r="B62" s="2546" t="s">
        <v>1453</v>
      </c>
      <c r="C62" s="2546"/>
      <c r="D62" s="2543"/>
      <c r="E62" s="2543"/>
      <c r="F62" s="2543"/>
      <c r="G62" s="2543"/>
      <c r="H62" s="2543"/>
      <c r="I62" s="2543"/>
      <c r="J62" s="2543"/>
      <c r="K62" s="2543"/>
      <c r="L62" s="2543"/>
      <c r="M62" s="2543"/>
      <c r="N62" s="2551"/>
      <c r="O62" s="1576" t="s">
        <v>1434</v>
      </c>
      <c r="P62" s="3191"/>
      <c r="Q62" s="3221"/>
      <c r="AA62" s="2094">
        <v>62</v>
      </c>
    </row>
    <row r="63" spans="1:27" ht="15.95" customHeight="1">
      <c r="A63" s="1583"/>
      <c r="B63" s="2551" t="s">
        <v>1454</v>
      </c>
      <c r="C63" s="2551"/>
      <c r="D63" s="2551"/>
      <c r="E63" s="2551"/>
      <c r="F63" s="2551"/>
      <c r="G63" s="2551"/>
      <c r="H63" s="2551"/>
      <c r="I63" s="1591"/>
      <c r="J63" s="3260"/>
      <c r="K63" s="3260"/>
      <c r="L63" s="3260"/>
      <c r="M63" s="3260"/>
      <c r="N63" s="3260"/>
      <c r="O63" s="3260"/>
      <c r="P63" s="3260"/>
      <c r="Q63" s="3261"/>
      <c r="AA63" s="2095">
        <v>63</v>
      </c>
    </row>
    <row r="64" spans="1:27" ht="15.95" customHeight="1">
      <c r="A64" s="1583"/>
      <c r="B64" s="2551" t="s">
        <v>1455</v>
      </c>
      <c r="C64" s="2551"/>
      <c r="D64" s="2551"/>
      <c r="E64" s="2551"/>
      <c r="F64" s="2551"/>
      <c r="G64" s="2551"/>
      <c r="H64" s="2551"/>
      <c r="I64" s="2551"/>
      <c r="J64" s="2551"/>
      <c r="K64" s="2551"/>
      <c r="L64" s="2551"/>
      <c r="M64" s="2551"/>
      <c r="N64" s="2551"/>
      <c r="O64" s="2544"/>
      <c r="P64" s="1597"/>
      <c r="Q64" s="1590"/>
      <c r="AA64" s="2094">
        <v>64</v>
      </c>
    </row>
    <row r="65" spans="1:28" ht="31.5" customHeight="1">
      <c r="A65" s="2551"/>
      <c r="B65" s="2546"/>
      <c r="C65" s="3142" t="s">
        <v>1456</v>
      </c>
      <c r="D65" s="3142"/>
      <c r="E65" s="3142"/>
      <c r="F65" s="3142"/>
      <c r="G65" s="3142"/>
      <c r="H65" s="3142"/>
      <c r="I65" s="3142"/>
      <c r="J65" s="3142"/>
      <c r="K65" s="3142"/>
      <c r="L65" s="3142"/>
      <c r="M65" s="3142"/>
      <c r="N65" s="3142"/>
      <c r="O65" s="3142"/>
      <c r="P65" s="2549"/>
      <c r="Q65" s="1704"/>
      <c r="AA65" s="2094">
        <v>65</v>
      </c>
    </row>
    <row r="66" spans="1:28" ht="15" customHeight="1">
      <c r="A66" s="2551"/>
      <c r="B66" s="1589" t="s">
        <v>1435</v>
      </c>
      <c r="C66" s="2551"/>
      <c r="D66" s="1589"/>
      <c r="E66" s="1589"/>
      <c r="F66" s="1589"/>
      <c r="G66" s="1589"/>
      <c r="H66" s="2550"/>
      <c r="I66" s="1575"/>
      <c r="J66" s="1575"/>
      <c r="K66" s="1575"/>
      <c r="L66" s="1572"/>
      <c r="M66" s="1572"/>
      <c r="N66" s="1572"/>
      <c r="O66" s="1572"/>
      <c r="P66" s="1572"/>
      <c r="Q66" s="1572"/>
      <c r="AA66" s="2094">
        <v>66</v>
      </c>
    </row>
    <row r="67" spans="1:28" ht="20.25" customHeight="1">
      <c r="A67" s="3178" t="s">
        <v>1457</v>
      </c>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1437</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79</v>
      </c>
      <c r="B72" s="2546" t="s">
        <v>1458</v>
      </c>
      <c r="C72" s="2550"/>
      <c r="D72" s="2543"/>
      <c r="E72" s="2543"/>
      <c r="F72" s="2543"/>
      <c r="G72" s="2543"/>
      <c r="H72" s="2543"/>
      <c r="I72" s="2543"/>
      <c r="J72" s="2543"/>
      <c r="K72" s="2543"/>
      <c r="L72" s="2543"/>
      <c r="M72" s="2543"/>
      <c r="N72" s="1596"/>
      <c r="O72" s="1576" t="s">
        <v>1434</v>
      </c>
      <c r="P72" s="3140"/>
      <c r="Q72" s="3148"/>
      <c r="AA72" s="2095">
        <v>72</v>
      </c>
    </row>
    <row r="73" spans="1:28" ht="32.25" customHeight="1">
      <c r="A73" s="1583"/>
      <c r="B73" s="3142" t="s">
        <v>1459</v>
      </c>
      <c r="C73" s="3142"/>
      <c r="D73" s="3142"/>
      <c r="E73" s="3142"/>
      <c r="F73" s="3142"/>
      <c r="G73" s="3142"/>
      <c r="H73" s="3142"/>
      <c r="I73" s="3142"/>
      <c r="J73" s="3142"/>
      <c r="K73" s="3143"/>
      <c r="L73" s="3266" t="s">
        <v>1460</v>
      </c>
      <c r="M73" s="3267"/>
      <c r="N73" s="3267"/>
      <c r="O73" s="3267"/>
      <c r="P73" s="4578"/>
      <c r="Q73" s="4579"/>
      <c r="AA73" s="2094">
        <v>73</v>
      </c>
    </row>
    <row r="74" spans="1:28" ht="16.5" customHeight="1">
      <c r="A74" s="2551"/>
      <c r="B74" s="2551" t="s">
        <v>1461</v>
      </c>
      <c r="C74" s="1577"/>
      <c r="D74" s="2551"/>
      <c r="E74" s="2551"/>
      <c r="F74" s="2551"/>
      <c r="G74" s="2551"/>
      <c r="H74" s="2551"/>
      <c r="I74" s="2551"/>
      <c r="J74" s="2551"/>
      <c r="K74" s="2551"/>
      <c r="L74" s="2551"/>
      <c r="M74" s="2551"/>
      <c r="N74" s="2551"/>
      <c r="O74" s="2544"/>
      <c r="P74" s="1597" t="s">
        <v>57</v>
      </c>
      <c r="Q74" s="1590"/>
      <c r="AA74" s="2094">
        <v>74</v>
      </c>
    </row>
    <row r="75" spans="1:28" ht="16.5" customHeight="1">
      <c r="A75" s="1583"/>
      <c r="B75" s="2551" t="s">
        <v>1462</v>
      </c>
      <c r="C75" s="2551"/>
      <c r="D75" s="2552"/>
      <c r="E75" s="2552"/>
      <c r="F75" s="2552"/>
      <c r="G75" s="2552"/>
      <c r="H75" s="2552"/>
      <c r="I75" s="2551"/>
      <c r="J75" s="2551"/>
      <c r="K75" s="2552"/>
      <c r="L75" s="2543"/>
      <c r="M75" s="2551"/>
      <c r="N75" s="2551"/>
      <c r="O75" s="2544"/>
      <c r="P75" s="1594" t="s">
        <v>57</v>
      </c>
      <c r="Q75" s="1595"/>
      <c r="AA75" s="2094">
        <v>75</v>
      </c>
    </row>
    <row r="76" spans="1:28" ht="15" customHeight="1">
      <c r="A76" s="1583"/>
      <c r="B76" s="2551" t="s">
        <v>1463</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1464</v>
      </c>
      <c r="D77" s="2551"/>
      <c r="E77" s="2552"/>
      <c r="F77" s="2552"/>
      <c r="G77" s="2552"/>
      <c r="H77" s="2552"/>
      <c r="I77" s="2551"/>
      <c r="J77" s="2551"/>
      <c r="K77" s="2552"/>
      <c r="L77" s="2543"/>
      <c r="M77" s="2543"/>
      <c r="N77" s="2551"/>
      <c r="O77" s="2544"/>
      <c r="P77" s="1597" t="s">
        <v>57</v>
      </c>
      <c r="Q77" s="1590"/>
      <c r="AA77" s="2094">
        <v>77</v>
      </c>
    </row>
    <row r="78" spans="1:28" ht="16.5" customHeight="1">
      <c r="A78" s="1583"/>
      <c r="B78" s="2546"/>
      <c r="C78" s="2551" t="s">
        <v>1465</v>
      </c>
      <c r="D78" s="2551"/>
      <c r="E78" s="2552"/>
      <c r="F78" s="2552"/>
      <c r="G78" s="2552"/>
      <c r="H78" s="2551"/>
      <c r="I78" s="2551"/>
      <c r="J78" s="2551"/>
      <c r="K78" s="2552"/>
      <c r="L78" s="2543"/>
      <c r="M78" s="2543"/>
      <c r="N78" s="2551"/>
      <c r="O78" s="2544"/>
      <c r="P78" s="1592" t="s">
        <v>57</v>
      </c>
      <c r="Q78" s="1593"/>
      <c r="AA78" s="2094">
        <v>78</v>
      </c>
    </row>
    <row r="79" spans="1:28" s="1607" customFormat="1" ht="16.5" customHeight="1">
      <c r="A79" s="1598"/>
      <c r="B79" s="1599"/>
      <c r="C79" s="1599"/>
      <c r="D79" s="1569" t="s">
        <v>1466</v>
      </c>
      <c r="E79" s="1600"/>
      <c r="F79" s="1600"/>
      <c r="G79" s="1569"/>
      <c r="H79" s="1569"/>
      <c r="I79" s="1601"/>
      <c r="J79" s="1602"/>
      <c r="K79" s="1603"/>
      <c r="L79" s="2547"/>
      <c r="M79" s="2547"/>
      <c r="N79" s="1602"/>
      <c r="O79" s="1604"/>
      <c r="P79" s="1605"/>
      <c r="Q79" s="1606"/>
      <c r="R79" s="1686"/>
      <c r="S79" s="1686"/>
      <c r="T79" s="1686"/>
      <c r="U79" s="1686"/>
      <c r="V79" s="1686"/>
      <c r="W79" s="1686"/>
      <c r="X79" s="1686"/>
      <c r="Y79" s="1686"/>
      <c r="Z79" s="1686"/>
      <c r="AA79" s="2094">
        <v>79</v>
      </c>
      <c r="AB79" s="1686"/>
    </row>
    <row r="80" spans="1:28" ht="16.5" customHeight="1">
      <c r="A80" s="1583"/>
      <c r="B80" s="2546"/>
      <c r="C80" s="2551" t="s">
        <v>1467</v>
      </c>
      <c r="D80" s="2551"/>
      <c r="E80" s="2552"/>
      <c r="F80" s="2552"/>
      <c r="G80" s="2552"/>
      <c r="H80" s="2551"/>
      <c r="I80" s="2551"/>
      <c r="J80" s="2551"/>
      <c r="K80" s="2552"/>
      <c r="L80" s="2543"/>
      <c r="M80" s="2543"/>
      <c r="N80" s="2551"/>
      <c r="O80" s="2544"/>
      <c r="P80" s="1594" t="s">
        <v>57</v>
      </c>
      <c r="Q80" s="1595"/>
      <c r="AA80" s="2094">
        <v>80</v>
      </c>
    </row>
    <row r="81" spans="1:27" ht="32.25" customHeight="1">
      <c r="A81" s="1583"/>
      <c r="B81" s="3262" t="s">
        <v>1468</v>
      </c>
      <c r="C81" s="3262"/>
      <c r="D81" s="3262"/>
      <c r="E81" s="3262"/>
      <c r="F81" s="3262"/>
      <c r="G81" s="3262"/>
      <c r="H81" s="3262"/>
      <c r="I81" s="3262"/>
      <c r="J81" s="3262"/>
      <c r="K81" s="3262"/>
      <c r="L81" s="3262"/>
      <c r="M81" s="3262"/>
      <c r="N81" s="3262"/>
      <c r="O81" s="3262"/>
      <c r="P81" s="3262"/>
      <c r="Q81" s="3262"/>
      <c r="AA81" s="2095">
        <v>81</v>
      </c>
    </row>
    <row r="82" spans="1:27" ht="20.25" customHeight="1">
      <c r="A82" s="2551"/>
      <c r="B82" s="3260"/>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1440</v>
      </c>
      <c r="C83" s="2551"/>
      <c r="D83" s="1589"/>
      <c r="E83" s="1589"/>
      <c r="F83" s="1589"/>
      <c r="G83" s="1589"/>
      <c r="H83" s="2550"/>
      <c r="I83" s="1575"/>
      <c r="J83" s="1575"/>
      <c r="K83" s="1575"/>
      <c r="L83" s="1572"/>
      <c r="M83" s="1572"/>
      <c r="N83" s="1572"/>
      <c r="O83" s="1572"/>
      <c r="P83" s="1572"/>
      <c r="Q83" s="1572"/>
      <c r="AA83" s="2094">
        <v>83</v>
      </c>
    </row>
    <row r="84" spans="1:27" ht="36.950000000000003" customHeight="1">
      <c r="A84" s="3134" t="s">
        <v>1469</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1437</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75" customHeight="1">
      <c r="A89" s="2546" t="s">
        <v>81</v>
      </c>
      <c r="B89" s="2546" t="s">
        <v>1470</v>
      </c>
      <c r="C89" s="2546"/>
      <c r="D89" s="2543"/>
      <c r="E89" s="2543"/>
      <c r="F89" s="2543"/>
      <c r="G89" s="2543"/>
      <c r="H89" s="2543"/>
      <c r="I89" s="2543"/>
      <c r="J89" s="2543"/>
      <c r="K89" s="2543"/>
      <c r="L89" s="2551"/>
      <c r="M89" s="2551"/>
      <c r="N89" s="1596"/>
      <c r="O89" s="1576" t="s">
        <v>1434</v>
      </c>
      <c r="P89" s="3140"/>
      <c r="Q89" s="3148"/>
      <c r="AA89" s="2094">
        <v>89</v>
      </c>
    </row>
    <row r="90" spans="1:27" ht="14.25" customHeight="1">
      <c r="A90" s="1583"/>
      <c r="B90" s="2551" t="s">
        <v>1471</v>
      </c>
      <c r="C90" s="2551"/>
      <c r="D90" s="2551"/>
      <c r="E90" s="2551"/>
      <c r="F90" s="1626" t="str">
        <f>IF(L90="Ground lease/Option","Ground lease/Option:","")</f>
        <v/>
      </c>
      <c r="G90" s="2551"/>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3" t="s">
        <v>1472</v>
      </c>
      <c r="M90" s="3264"/>
      <c r="N90" s="3265"/>
      <c r="O90" s="3140" t="s">
        <v>726</v>
      </c>
      <c r="P90" s="3184"/>
      <c r="Q90" s="3141"/>
      <c r="AA90" s="2095">
        <v>90</v>
      </c>
    </row>
    <row r="91" spans="1:27" ht="14.25" customHeight="1">
      <c r="A91" s="1583"/>
      <c r="B91" s="2551" t="s">
        <v>1473</v>
      </c>
      <c r="C91" s="2551"/>
      <c r="D91" s="2551"/>
      <c r="E91" s="2551"/>
      <c r="F91" s="2551"/>
      <c r="G91" s="3260" t="s">
        <v>36</v>
      </c>
      <c r="H91" s="3260"/>
      <c r="I91" s="3260"/>
      <c r="J91" s="3260"/>
      <c r="K91" s="3260"/>
      <c r="L91" s="3260"/>
      <c r="M91" s="3260"/>
      <c r="N91" s="3260"/>
      <c r="O91" s="3260"/>
      <c r="P91" s="3260"/>
      <c r="Q91" s="3261"/>
      <c r="AA91" s="2094">
        <v>91</v>
      </c>
    </row>
    <row r="92" spans="1:27" ht="15" customHeight="1">
      <c r="A92" s="2551"/>
      <c r="B92" s="1589" t="s">
        <v>1440</v>
      </c>
      <c r="C92" s="2551"/>
      <c r="D92" s="1589"/>
      <c r="E92" s="1589"/>
      <c r="F92" s="1589"/>
      <c r="G92" s="1589"/>
      <c r="H92" s="2550"/>
      <c r="I92" s="1575"/>
      <c r="J92" s="1575"/>
      <c r="K92" s="1575"/>
      <c r="L92" s="1572"/>
      <c r="M92" s="1572"/>
      <c r="N92" s="1572"/>
      <c r="O92" s="1572"/>
      <c r="P92" s="1572"/>
      <c r="Q92" s="1572"/>
      <c r="AA92" s="2094">
        <v>92</v>
      </c>
    </row>
    <row r="93" spans="1:27" ht="18.75" customHeight="1">
      <c r="A93" s="3134" t="s">
        <v>1474</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1437</v>
      </c>
      <c r="C94" s="1579"/>
      <c r="D94" s="2543"/>
      <c r="E94" s="2543"/>
      <c r="F94" s="2543"/>
      <c r="G94" s="2543"/>
      <c r="H94" s="2543"/>
      <c r="I94" s="2543"/>
      <c r="J94" s="2543"/>
      <c r="K94" s="2543"/>
      <c r="L94" s="2543"/>
      <c r="M94" s="2543"/>
      <c r="N94" s="2543"/>
      <c r="O94" s="2543"/>
      <c r="P94" s="2543"/>
      <c r="Q94" s="2543"/>
      <c r="AA94" s="2094">
        <v>94</v>
      </c>
    </row>
    <row r="95" spans="1:27" ht="18.75"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75" customHeight="1">
      <c r="A98" s="2546" t="s">
        <v>1475</v>
      </c>
      <c r="B98" s="2546" t="s">
        <v>1476</v>
      </c>
      <c r="C98" s="2546"/>
      <c r="D98" s="2543"/>
      <c r="E98" s="2543"/>
      <c r="F98" s="2543"/>
      <c r="G98" s="2543"/>
      <c r="H98" s="2543"/>
      <c r="I98" s="2543"/>
      <c r="J98" s="2543"/>
      <c r="K98" s="2543"/>
      <c r="L98" s="2543"/>
      <c r="M98" s="2543"/>
      <c r="N98" s="2551"/>
      <c r="O98" s="1576" t="s">
        <v>1434</v>
      </c>
      <c r="P98" s="3140"/>
      <c r="Q98" s="3148"/>
      <c r="AA98" s="2094">
        <v>98</v>
      </c>
    </row>
    <row r="99" spans="1:27" ht="15" customHeight="1">
      <c r="A99" s="2551"/>
      <c r="B99" s="1589" t="s">
        <v>1440</v>
      </c>
      <c r="C99" s="2551"/>
      <c r="D99" s="1589"/>
      <c r="E99" s="1589"/>
      <c r="F99" s="1589"/>
      <c r="G99" s="1589"/>
      <c r="H99" s="2550"/>
      <c r="I99" s="1575"/>
      <c r="J99" s="1575"/>
      <c r="K99" s="1575"/>
      <c r="L99" s="1572"/>
      <c r="M99" s="1572"/>
      <c r="N99" s="1572"/>
      <c r="O99" s="1572"/>
      <c r="P99" s="1572"/>
      <c r="Q99" s="1572"/>
      <c r="AA99" s="2095">
        <v>99</v>
      </c>
    </row>
    <row r="100" spans="1:27" ht="32.1" customHeight="1">
      <c r="A100" s="3134" t="s">
        <v>1477</v>
      </c>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1437</v>
      </c>
      <c r="C101" s="1579"/>
      <c r="D101" s="2543"/>
      <c r="E101" s="2543"/>
      <c r="F101" s="2543"/>
      <c r="G101" s="2543"/>
      <c r="H101" s="2543"/>
      <c r="I101" s="2543"/>
      <c r="J101" s="2543"/>
      <c r="K101" s="2543"/>
      <c r="L101" s="2543"/>
      <c r="M101" s="2543"/>
      <c r="N101" s="2543"/>
      <c r="O101" s="2543"/>
      <c r="P101" s="2543"/>
      <c r="Q101" s="2543"/>
      <c r="AA101" s="2094">
        <v>101</v>
      </c>
    </row>
    <row r="102" spans="1:27" ht="18.75"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75" customHeight="1">
      <c r="A105" s="2546" t="s">
        <v>1478</v>
      </c>
      <c r="B105" s="3259" t="s">
        <v>1479</v>
      </c>
      <c r="C105" s="3259"/>
      <c r="D105" s="3259"/>
      <c r="E105" s="2551"/>
      <c r="F105" s="2551"/>
      <c r="G105" s="2551"/>
      <c r="H105" s="2551"/>
      <c r="I105" s="2551"/>
      <c r="J105" s="2551"/>
      <c r="K105" s="2551"/>
      <c r="L105" s="2551"/>
      <c r="M105" s="2551"/>
      <c r="N105" s="1596"/>
      <c r="O105" s="1576" t="s">
        <v>1434</v>
      </c>
      <c r="P105" s="3140"/>
      <c r="Q105" s="3148"/>
      <c r="AA105" s="2094">
        <v>105</v>
      </c>
    </row>
    <row r="106" spans="1:27" ht="15" customHeight="1">
      <c r="A106" s="2551"/>
      <c r="B106" s="1589" t="s">
        <v>1440</v>
      </c>
      <c r="C106" s="2551"/>
      <c r="D106" s="1589"/>
      <c r="E106" s="1589"/>
      <c r="F106" s="1589"/>
      <c r="G106" s="1589"/>
      <c r="H106" s="2550"/>
      <c r="I106" s="1575"/>
      <c r="J106" s="1575"/>
      <c r="K106" s="1575"/>
      <c r="L106" s="1572"/>
      <c r="M106" s="1572"/>
      <c r="N106" s="1572"/>
      <c r="O106" s="1572"/>
      <c r="P106" s="1572"/>
      <c r="Q106" s="1572"/>
      <c r="AA106" s="2094">
        <v>106</v>
      </c>
    </row>
    <row r="107" spans="1:27" ht="45" customHeight="1">
      <c r="A107" s="3134" t="s">
        <v>1480</v>
      </c>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1437</v>
      </c>
      <c r="C108" s="1579"/>
      <c r="D108" s="2543"/>
      <c r="E108" s="2543"/>
      <c r="F108" s="2543"/>
      <c r="G108" s="2543"/>
      <c r="H108" s="2543"/>
      <c r="I108" s="2543"/>
      <c r="J108" s="2543"/>
      <c r="K108" s="2543"/>
      <c r="L108" s="2543"/>
      <c r="M108" s="2543"/>
      <c r="N108" s="2543"/>
      <c r="O108" s="2543"/>
      <c r="P108" s="2543"/>
      <c r="Q108" s="2543"/>
      <c r="AA108" s="2095">
        <v>108</v>
      </c>
    </row>
    <row r="109" spans="1:27" ht="18.75"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75" customHeight="1">
      <c r="A112" s="2546" t="s">
        <v>1481</v>
      </c>
      <c r="B112" s="2546" t="s">
        <v>1482</v>
      </c>
      <c r="C112" s="2546"/>
      <c r="D112" s="2543"/>
      <c r="E112" s="2543"/>
      <c r="F112" s="2551"/>
      <c r="G112" s="2543"/>
      <c r="H112" s="2551"/>
      <c r="I112" s="2551"/>
      <c r="J112" s="2552"/>
      <c r="K112" s="2552"/>
      <c r="L112" s="2552"/>
      <c r="M112" s="2552"/>
      <c r="N112" s="1596"/>
      <c r="O112" s="1576" t="s">
        <v>1434</v>
      </c>
      <c r="P112" s="3191"/>
      <c r="Q112" s="3221"/>
      <c r="AA112" s="2094">
        <v>112</v>
      </c>
    </row>
    <row r="113" spans="1:27" ht="14.25" customHeight="1">
      <c r="A113" s="1583"/>
      <c r="B113" s="2551" t="s">
        <v>1483</v>
      </c>
      <c r="C113" s="2551"/>
      <c r="D113" s="2551"/>
      <c r="E113" s="2551"/>
      <c r="F113" s="2551"/>
      <c r="G113" s="2551"/>
      <c r="H113" s="2551" t="s">
        <v>1484</v>
      </c>
      <c r="I113" s="2551"/>
      <c r="J113" s="3256" t="s">
        <v>1485</v>
      </c>
      <c r="K113" s="3257"/>
      <c r="L113" s="3257"/>
      <c r="M113" s="3257"/>
      <c r="N113" s="3257"/>
      <c r="O113" s="3257"/>
      <c r="P113" s="3257"/>
      <c r="Q113" s="3258"/>
      <c r="AA113" s="2094">
        <v>113</v>
      </c>
    </row>
    <row r="114" spans="1:27" ht="14.25" customHeight="1">
      <c r="A114" s="1583"/>
      <c r="B114" s="1583"/>
      <c r="C114" s="2551"/>
      <c r="D114" s="2551"/>
      <c r="E114" s="2551"/>
      <c r="F114" s="2551"/>
      <c r="G114" s="2551"/>
      <c r="H114" s="2551" t="s">
        <v>1486</v>
      </c>
      <c r="I114" s="2551"/>
      <c r="J114" s="3246" t="s">
        <v>1487</v>
      </c>
      <c r="K114" s="3247"/>
      <c r="L114" s="3247"/>
      <c r="M114" s="3247"/>
      <c r="N114" s="3247"/>
      <c r="O114" s="3247"/>
      <c r="P114" s="3247"/>
      <c r="Q114" s="3248"/>
      <c r="AA114" s="2094">
        <v>114</v>
      </c>
    </row>
    <row r="115" spans="1:27" ht="15" customHeight="1">
      <c r="A115" s="1583"/>
      <c r="B115" s="1589" t="s">
        <v>1440</v>
      </c>
      <c r="C115" s="1608"/>
      <c r="D115" s="1608"/>
      <c r="E115" s="1608"/>
      <c r="F115" s="1608"/>
      <c r="G115" s="2551"/>
      <c r="H115" s="1577"/>
      <c r="I115" s="1577"/>
      <c r="J115" s="1577"/>
      <c r="K115" s="1577"/>
      <c r="L115" s="1577"/>
      <c r="M115" s="1577"/>
      <c r="N115" s="1577"/>
      <c r="O115" s="1577"/>
      <c r="P115" s="1577"/>
      <c r="Q115" s="1577"/>
      <c r="AA115" s="2094">
        <v>115</v>
      </c>
    </row>
    <row r="116" spans="1:27" ht="18.75" customHeight="1">
      <c r="A116" s="3134" t="s">
        <v>1488</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1437</v>
      </c>
      <c r="C117" s="1579"/>
      <c r="D117" s="2543"/>
      <c r="E117" s="2543"/>
      <c r="F117" s="2543"/>
      <c r="G117" s="2543"/>
      <c r="H117" s="2543"/>
      <c r="I117" s="2543"/>
      <c r="J117" s="2543"/>
      <c r="K117" s="2543"/>
      <c r="L117" s="2543"/>
      <c r="M117" s="2543"/>
      <c r="N117" s="2543"/>
      <c r="O117" s="2543"/>
      <c r="P117" s="2543"/>
      <c r="Q117" s="2543"/>
      <c r="AA117" s="2095">
        <v>117</v>
      </c>
    </row>
    <row r="118" spans="1:27" ht="18.75"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1489</v>
      </c>
      <c r="B121" s="1573" t="s">
        <v>1490</v>
      </c>
      <c r="C121" s="1573"/>
      <c r="D121" s="1573"/>
      <c r="E121" s="1573"/>
      <c r="F121" s="1573"/>
      <c r="G121" s="2543"/>
      <c r="H121" s="2543"/>
      <c r="I121" s="2551"/>
      <c r="J121" s="2543"/>
      <c r="K121" s="2543"/>
      <c r="L121" s="2543"/>
      <c r="M121" s="2543"/>
      <c r="N121" s="1596"/>
      <c r="O121" s="1576" t="s">
        <v>1434</v>
      </c>
      <c r="P121" s="3140"/>
      <c r="Q121" s="3148"/>
      <c r="AA121" s="2094">
        <v>121</v>
      </c>
    </row>
    <row r="122" spans="1:27" ht="14.45" customHeight="1">
      <c r="A122" s="1583"/>
      <c r="B122" s="2551" t="s">
        <v>1491</v>
      </c>
      <c r="C122" s="2551"/>
      <c r="D122" s="2551"/>
      <c r="E122" s="2551"/>
      <c r="F122" s="2551"/>
      <c r="G122" s="2551"/>
      <c r="H122" s="2551" t="s">
        <v>1492</v>
      </c>
      <c r="I122" s="2551"/>
      <c r="J122" s="3256" t="s">
        <v>1493</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1494</v>
      </c>
      <c r="I123" s="2551"/>
      <c r="J123" s="3246" t="s">
        <v>1493</v>
      </c>
      <c r="K123" s="3247"/>
      <c r="L123" s="3247"/>
      <c r="M123" s="3247"/>
      <c r="N123" s="3247"/>
      <c r="O123" s="3247"/>
      <c r="P123" s="3247"/>
      <c r="Q123" s="3248"/>
      <c r="R123" s="1609"/>
      <c r="AA123" s="2094">
        <v>123</v>
      </c>
    </row>
    <row r="124" spans="1:27" ht="15" customHeight="1">
      <c r="A124" s="2551"/>
      <c r="B124" s="1589" t="s">
        <v>1440</v>
      </c>
      <c r="C124" s="2551"/>
      <c r="D124" s="1589"/>
      <c r="E124" s="1589"/>
      <c r="F124" s="1589"/>
      <c r="G124" s="1589"/>
      <c r="H124" s="2550"/>
      <c r="I124" s="1575"/>
      <c r="J124" s="1575"/>
      <c r="K124" s="1575"/>
      <c r="L124" s="1572"/>
      <c r="M124" s="1572"/>
      <c r="N124" s="1572"/>
      <c r="O124" s="1572"/>
      <c r="P124" s="1572"/>
      <c r="Q124" s="1572"/>
      <c r="AA124" s="2094">
        <v>124</v>
      </c>
    </row>
    <row r="125" spans="1:27" ht="39.950000000000003" customHeight="1">
      <c r="A125" s="3134" t="s">
        <v>1495</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1437</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1496</v>
      </c>
      <c r="B130" s="2546" t="s">
        <v>1497</v>
      </c>
      <c r="C130" s="2546"/>
      <c r="D130" s="2543"/>
      <c r="E130" s="2543"/>
      <c r="F130" s="2543"/>
      <c r="G130" s="2543"/>
      <c r="H130" s="2543"/>
      <c r="I130" s="2543"/>
      <c r="J130" s="2543"/>
      <c r="K130" s="2543"/>
      <c r="L130" s="2543"/>
      <c r="M130" s="2543"/>
      <c r="N130" s="2551"/>
      <c r="O130" s="1576" t="s">
        <v>1434</v>
      </c>
      <c r="P130" s="3140"/>
      <c r="Q130" s="3148"/>
      <c r="AA130" s="2094">
        <v>130</v>
      </c>
    </row>
    <row r="131" spans="1:27" ht="27.75" customHeight="1">
      <c r="A131" s="1577"/>
      <c r="B131" s="3142" t="s">
        <v>1498</v>
      </c>
      <c r="C131" s="3142"/>
      <c r="D131" s="3142"/>
      <c r="E131" s="3142"/>
      <c r="F131" s="3142"/>
      <c r="G131" s="3142"/>
      <c r="H131" s="3142"/>
      <c r="I131" s="3142"/>
      <c r="J131" s="3142"/>
      <c r="K131" s="3142"/>
      <c r="L131" s="3142"/>
      <c r="M131" s="3142"/>
      <c r="N131" s="3142"/>
      <c r="O131" s="3143"/>
      <c r="P131" s="3151" t="s">
        <v>67</v>
      </c>
      <c r="Q131" s="3152"/>
      <c r="AA131" s="2094">
        <v>131</v>
      </c>
    </row>
    <row r="132" spans="1:27" ht="20.25" customHeight="1">
      <c r="A132" s="1583" t="s">
        <v>199</v>
      </c>
      <c r="B132" s="2551" t="s">
        <v>1499</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1500</v>
      </c>
      <c r="D133" s="2551"/>
      <c r="E133" s="2551"/>
      <c r="F133" s="2551"/>
      <c r="G133" s="2551"/>
      <c r="H133" s="2551"/>
      <c r="I133" s="2551"/>
      <c r="J133" s="2544"/>
      <c r="K133" s="1577"/>
      <c r="L133" s="1577"/>
      <c r="M133" s="3255" t="s">
        <v>1501</v>
      </c>
      <c r="N133" s="4580"/>
      <c r="O133" s="4580"/>
      <c r="P133" s="4580"/>
      <c r="Q133" s="4581"/>
      <c r="AA133" s="2094">
        <v>133</v>
      </c>
    </row>
    <row r="134" spans="1:27" ht="14.45" customHeight="1">
      <c r="A134" s="1583"/>
      <c r="B134" s="2550"/>
      <c r="C134" s="2550" t="s">
        <v>1502</v>
      </c>
      <c r="D134" s="2551"/>
      <c r="E134" s="2550"/>
      <c r="F134" s="2550"/>
      <c r="G134" s="2550"/>
      <c r="H134" s="2550"/>
      <c r="I134" s="2551"/>
      <c r="J134" s="2544"/>
      <c r="K134" s="1577"/>
      <c r="L134" s="1577"/>
      <c r="M134" s="3239" t="s">
        <v>1503</v>
      </c>
      <c r="N134" s="3240"/>
      <c r="O134" s="3240"/>
      <c r="P134" s="3240"/>
      <c r="Q134" s="3241"/>
      <c r="AA134" s="2094">
        <v>134</v>
      </c>
    </row>
    <row r="135" spans="1:27" ht="14.45" customHeight="1">
      <c r="A135" s="1583"/>
      <c r="B135" s="2550"/>
      <c r="C135" s="3242" t="s">
        <v>1504</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1505</v>
      </c>
      <c r="D136" s="2551"/>
      <c r="E136" s="2550"/>
      <c r="F136" s="2550"/>
      <c r="G136" s="2550"/>
      <c r="H136" s="2550"/>
      <c r="I136" s="2551"/>
      <c r="J136" s="2544"/>
      <c r="K136" s="1577"/>
      <c r="L136" s="1577"/>
      <c r="M136" s="3246" t="s">
        <v>1506</v>
      </c>
      <c r="N136" s="3247"/>
      <c r="O136" s="3247"/>
      <c r="P136" s="3247"/>
      <c r="Q136" s="3248"/>
      <c r="AA136" s="2094">
        <v>136</v>
      </c>
    </row>
    <row r="137" spans="1:27" ht="20.25" customHeight="1">
      <c r="A137" s="1583" t="s">
        <v>211</v>
      </c>
      <c r="B137" s="3142" t="s">
        <v>1507</v>
      </c>
      <c r="C137" s="3142"/>
      <c r="D137" s="3142"/>
      <c r="E137" s="3142"/>
      <c r="F137" s="3142"/>
      <c r="G137" s="3142"/>
      <c r="H137" s="3142"/>
      <c r="I137" s="3142"/>
      <c r="J137" s="3142"/>
      <c r="K137" s="3142"/>
      <c r="L137" s="3142"/>
      <c r="M137" s="3142"/>
      <c r="N137" s="3142"/>
      <c r="O137" s="2544"/>
      <c r="P137" s="1610"/>
      <c r="Q137" s="1572"/>
      <c r="AA137" s="2094">
        <v>137</v>
      </c>
    </row>
    <row r="138" spans="1:27" ht="27.75" customHeight="1">
      <c r="A138" s="1598"/>
      <c r="B138" s="2543"/>
      <c r="C138" s="3142" t="s">
        <v>1508</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1509</v>
      </c>
      <c r="C139" s="3249" t="s">
        <v>1510</v>
      </c>
      <c r="D139" s="3250"/>
      <c r="E139" s="3250"/>
      <c r="F139" s="3250"/>
      <c r="G139" s="3250"/>
      <c r="H139" s="3251"/>
      <c r="I139" s="1577"/>
      <c r="J139" s="3252" t="s">
        <v>1511</v>
      </c>
      <c r="K139" s="3253"/>
      <c r="L139" s="3253"/>
      <c r="M139" s="3253"/>
      <c r="N139" s="3253"/>
      <c r="O139" s="3253"/>
      <c r="P139" s="3253"/>
      <c r="Q139" s="3254"/>
      <c r="AA139" s="2094">
        <v>139</v>
      </c>
    </row>
    <row r="140" spans="1:27" ht="15.75" customHeight="1">
      <c r="A140" s="1572"/>
      <c r="B140" s="1604" t="s">
        <v>1512</v>
      </c>
      <c r="C140" s="3227" t="s">
        <v>1513</v>
      </c>
      <c r="D140" s="3228"/>
      <c r="E140" s="3228"/>
      <c r="F140" s="3228"/>
      <c r="G140" s="3228"/>
      <c r="H140" s="3229"/>
      <c r="I140" s="1577"/>
      <c r="J140" s="3230" t="s">
        <v>1511</v>
      </c>
      <c r="K140" s="3231"/>
      <c r="L140" s="3231"/>
      <c r="M140" s="3231"/>
      <c r="N140" s="3231"/>
      <c r="O140" s="3231"/>
      <c r="P140" s="3231"/>
      <c r="Q140" s="3232"/>
      <c r="AA140" s="2094">
        <v>140</v>
      </c>
    </row>
    <row r="141" spans="1:27" ht="15.75" customHeight="1">
      <c r="A141" s="1572"/>
      <c r="B141" s="1604" t="s">
        <v>1514</v>
      </c>
      <c r="C141" s="3227" t="s">
        <v>1515</v>
      </c>
      <c r="D141" s="3228"/>
      <c r="E141" s="3228"/>
      <c r="F141" s="3228"/>
      <c r="G141" s="3228"/>
      <c r="H141" s="3229"/>
      <c r="I141" s="1577"/>
      <c r="J141" s="3230" t="s">
        <v>1511</v>
      </c>
      <c r="K141" s="3231"/>
      <c r="L141" s="3231"/>
      <c r="M141" s="3231"/>
      <c r="N141" s="3231"/>
      <c r="O141" s="3231"/>
      <c r="P141" s="3231"/>
      <c r="Q141" s="3232"/>
      <c r="AA141" s="2094">
        <v>141</v>
      </c>
    </row>
    <row r="142" spans="1:27" ht="15.75" customHeight="1">
      <c r="A142" s="1572"/>
      <c r="B142" s="1604" t="s">
        <v>1516</v>
      </c>
      <c r="C142" s="3233" t="s">
        <v>1515</v>
      </c>
      <c r="D142" s="3234"/>
      <c r="E142" s="3234"/>
      <c r="F142" s="3234"/>
      <c r="G142" s="3234"/>
      <c r="H142" s="3235"/>
      <c r="I142" s="1577"/>
      <c r="J142" s="3236" t="s">
        <v>1511</v>
      </c>
      <c r="K142" s="3237"/>
      <c r="L142" s="3237"/>
      <c r="M142" s="3237"/>
      <c r="N142" s="3237"/>
      <c r="O142" s="3237"/>
      <c r="P142" s="3237"/>
      <c r="Q142" s="3238"/>
      <c r="AA142" s="2094">
        <v>142</v>
      </c>
    </row>
    <row r="143" spans="1:27" ht="15" customHeight="1">
      <c r="A143" s="2551"/>
      <c r="B143" s="1580" t="s">
        <v>1440</v>
      </c>
      <c r="C143" s="2551"/>
      <c r="D143" s="1580"/>
      <c r="E143" s="1580"/>
      <c r="F143" s="1580"/>
      <c r="G143" s="1580"/>
      <c r="H143" s="2550"/>
      <c r="I143" s="1575"/>
      <c r="J143" s="1575"/>
      <c r="K143" s="1575"/>
      <c r="L143" s="1572"/>
      <c r="M143" s="1572"/>
      <c r="N143" s="1572"/>
      <c r="O143" s="1572"/>
      <c r="P143" s="1577"/>
      <c r="Q143" s="1577"/>
      <c r="AA143" s="2094">
        <v>143</v>
      </c>
    </row>
    <row r="144" spans="1:27" ht="20.25" customHeight="1">
      <c r="A144" s="3134" t="s">
        <v>1517</v>
      </c>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1437</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1518</v>
      </c>
      <c r="B149" s="1573" t="s">
        <v>1519</v>
      </c>
      <c r="C149" s="1573"/>
      <c r="D149" s="1573"/>
      <c r="E149" s="1573"/>
      <c r="F149" s="1573"/>
      <c r="G149" s="1573"/>
      <c r="H149" s="2543"/>
      <c r="I149" s="2543"/>
      <c r="J149" s="2543"/>
      <c r="K149" s="2543"/>
      <c r="L149" s="1611"/>
      <c r="M149" s="1612"/>
      <c r="N149" s="2551"/>
      <c r="O149" s="1576" t="s">
        <v>1434</v>
      </c>
      <c r="P149" s="3191"/>
      <c r="Q149" s="3221"/>
      <c r="AA149" s="2094">
        <v>149</v>
      </c>
    </row>
    <row r="150" spans="1:27" ht="20.25" customHeight="1">
      <c r="A150" s="1577"/>
      <c r="B150" s="2551" t="s">
        <v>1520</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1521</v>
      </c>
      <c r="C151" s="2551"/>
      <c r="D151" s="2551"/>
      <c r="E151" s="2551"/>
      <c r="F151" s="2551"/>
      <c r="G151" s="1577"/>
      <c r="H151" s="3202" t="s">
        <v>726</v>
      </c>
      <c r="I151" s="3222"/>
      <c r="J151" s="3222"/>
      <c r="K151" s="3222"/>
      <c r="L151" s="3222"/>
      <c r="M151" s="3222"/>
      <c r="N151" s="3222"/>
      <c r="O151" s="3222"/>
      <c r="P151" s="3223"/>
      <c r="Q151" s="3224"/>
      <c r="R151" s="1591"/>
      <c r="AA151" s="2094">
        <v>151</v>
      </c>
    </row>
    <row r="152" spans="1:27" ht="20.25" customHeight="1">
      <c r="A152" s="1583"/>
      <c r="B152" s="2551" t="s">
        <v>1522</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1440</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t="s">
        <v>1523</v>
      </c>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1437</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1524</v>
      </c>
      <c r="B159" s="1573" t="s">
        <v>1525</v>
      </c>
      <c r="C159" s="1573"/>
      <c r="D159" s="1573"/>
      <c r="E159" s="1573"/>
      <c r="F159" s="1573"/>
      <c r="G159" s="1573"/>
      <c r="H159" s="2543"/>
      <c r="I159" s="2543"/>
      <c r="J159" s="2543"/>
      <c r="K159" s="2543"/>
      <c r="L159" s="2543"/>
      <c r="M159" s="2543"/>
      <c r="N159" s="2551"/>
      <c r="O159" s="1576" t="s">
        <v>1434</v>
      </c>
      <c r="P159" s="3140"/>
      <c r="Q159" s="3148"/>
      <c r="AA159" s="2094">
        <v>159</v>
      </c>
    </row>
    <row r="160" spans="1:27" ht="15" customHeight="1">
      <c r="A160" s="2551"/>
      <c r="B160" s="1589" t="s">
        <v>1440</v>
      </c>
      <c r="C160" s="2551"/>
      <c r="D160" s="1589"/>
      <c r="E160" s="1589"/>
      <c r="F160" s="1589"/>
      <c r="G160" s="1589"/>
      <c r="H160" s="2550"/>
      <c r="I160" s="1575"/>
      <c r="J160" s="1575"/>
      <c r="K160" s="1575"/>
      <c r="L160" s="1572"/>
      <c r="M160" s="1572"/>
      <c r="N160" s="1572"/>
      <c r="O160" s="1572"/>
      <c r="P160" s="1572"/>
      <c r="Q160" s="1572"/>
      <c r="AA160" s="2094">
        <v>160</v>
      </c>
    </row>
    <row r="161" spans="1:27" ht="29.1" customHeight="1">
      <c r="A161" s="3134" t="s">
        <v>1526</v>
      </c>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1437</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25" customHeight="1">
      <c r="A166" s="2546" t="s">
        <v>1527</v>
      </c>
      <c r="B166" s="2546" t="s">
        <v>1528</v>
      </c>
      <c r="C166" s="2546"/>
      <c r="D166" s="2543"/>
      <c r="E166" s="2543"/>
      <c r="F166" s="2543"/>
      <c r="G166" s="2543"/>
      <c r="H166" s="2543"/>
      <c r="I166" s="2543"/>
      <c r="J166" s="2543"/>
      <c r="K166" s="2543"/>
      <c r="L166" s="2543"/>
      <c r="M166" s="2543"/>
      <c r="N166" s="2551"/>
      <c r="O166" s="1576" t="s">
        <v>1434</v>
      </c>
      <c r="P166" s="3140"/>
      <c r="Q166" s="3148"/>
      <c r="AA166" s="2094">
        <v>166</v>
      </c>
    </row>
    <row r="167" spans="1:27" ht="15" customHeight="1">
      <c r="A167" s="1583" t="s">
        <v>199</v>
      </c>
      <c r="B167" s="1573" t="s">
        <v>1529</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1530</v>
      </c>
      <c r="C168" s="3145"/>
      <c r="D168" s="3145"/>
      <c r="E168" s="3145"/>
      <c r="F168" s="3145"/>
      <c r="G168" s="3145"/>
      <c r="H168" s="3145"/>
      <c r="I168" s="3145"/>
      <c r="J168" s="3145"/>
      <c r="K168" s="3145"/>
      <c r="L168" s="3145"/>
      <c r="M168" s="3145"/>
      <c r="N168" s="3145"/>
      <c r="O168" s="3146"/>
      <c r="P168" s="3216" t="s">
        <v>1531</v>
      </c>
      <c r="Q168" s="3217"/>
      <c r="AA168" s="2094">
        <v>168</v>
      </c>
    </row>
    <row r="169" spans="1:27" ht="17.25" customHeight="1">
      <c r="A169" s="1583" t="s">
        <v>211</v>
      </c>
      <c r="B169" s="1573" t="s">
        <v>1532</v>
      </c>
      <c r="C169" s="2551"/>
      <c r="D169" s="2551"/>
      <c r="E169" s="2551"/>
      <c r="F169" s="2551"/>
      <c r="G169" s="1577"/>
      <c r="H169" s="3144" t="s">
        <v>1533</v>
      </c>
      <c r="I169" s="3144"/>
      <c r="J169" s="3144"/>
      <c r="K169" s="3144"/>
      <c r="L169" s="3144"/>
      <c r="M169" s="3144"/>
      <c r="N169" s="3144"/>
      <c r="O169" s="3144"/>
      <c r="P169" s="3218"/>
      <c r="Q169" s="3218"/>
      <c r="AA169" s="2094">
        <v>169</v>
      </c>
    </row>
    <row r="170" spans="1:27" ht="15" customHeight="1">
      <c r="A170" s="2551"/>
      <c r="B170" s="1589" t="s">
        <v>1440</v>
      </c>
      <c r="C170" s="2551"/>
      <c r="D170" s="2551"/>
      <c r="E170" s="2551"/>
      <c r="F170" s="2551"/>
      <c r="G170" s="2551"/>
      <c r="H170" s="2551"/>
      <c r="I170" s="2551"/>
      <c r="J170" s="2551"/>
      <c r="K170" s="2551"/>
      <c r="L170" s="2551"/>
      <c r="M170" s="1575"/>
      <c r="N170" s="1575"/>
      <c r="O170" s="1613"/>
      <c r="P170" s="1572"/>
      <c r="Q170" s="2551"/>
      <c r="AA170" s="2094">
        <v>170</v>
      </c>
    </row>
    <row r="171" spans="1:27" ht="26.1" customHeight="1">
      <c r="A171" s="3134" t="s">
        <v>1534</v>
      </c>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1437</v>
      </c>
      <c r="C172" s="1579"/>
      <c r="D172" s="2543"/>
      <c r="E172" s="2543"/>
      <c r="F172" s="2543"/>
      <c r="G172" s="2543"/>
      <c r="H172" s="2543"/>
      <c r="I172" s="2543"/>
      <c r="J172" s="2543"/>
      <c r="K172" s="2543"/>
      <c r="L172" s="2543"/>
      <c r="M172" s="2543"/>
      <c r="N172" s="2543"/>
      <c r="O172" s="2543"/>
      <c r="P172" s="2543"/>
      <c r="Q172" s="2543"/>
      <c r="AA172" s="2094">
        <v>172</v>
      </c>
    </row>
    <row r="173" spans="1:27" ht="17.25"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25" customHeight="1">
      <c r="A176" s="2546" t="s">
        <v>1535</v>
      </c>
      <c r="B176" s="2546" t="s">
        <v>1536</v>
      </c>
      <c r="C176" s="1614"/>
      <c r="D176" s="1614"/>
      <c r="E176" s="2543"/>
      <c r="F176" s="2543"/>
      <c r="G176" s="2543"/>
      <c r="H176" s="2543"/>
      <c r="I176" s="2543"/>
      <c r="J176" s="2543"/>
      <c r="K176" s="2543"/>
      <c r="L176" s="2543"/>
      <c r="M176" s="2543"/>
      <c r="N176" s="2551"/>
      <c r="O176" s="1576" t="s">
        <v>1434</v>
      </c>
      <c r="P176" s="3191"/>
      <c r="Q176" s="3192"/>
      <c r="AA176" s="2094">
        <v>176</v>
      </c>
    </row>
    <row r="177" spans="1:27" ht="15" customHeight="1">
      <c r="A177" s="1577"/>
      <c r="B177" s="2551" t="s">
        <v>1520</v>
      </c>
      <c r="C177" s="1577"/>
      <c r="D177" s="1577"/>
      <c r="E177" s="1577"/>
      <c r="F177" s="1577"/>
      <c r="G177" s="1577"/>
      <c r="H177" s="1577"/>
      <c r="I177" s="1577"/>
      <c r="J177" s="1577"/>
      <c r="K177" s="1577"/>
      <c r="L177" s="1577"/>
      <c r="M177" s="1577"/>
      <c r="N177" s="1575"/>
      <c r="O177" s="1577"/>
      <c r="P177" s="3154" t="s">
        <v>57</v>
      </c>
      <c r="Q177" s="3207"/>
      <c r="AA177" s="2094">
        <v>177</v>
      </c>
    </row>
    <row r="178" spans="1:27" ht="30.75" customHeight="1">
      <c r="A178" s="1577"/>
      <c r="B178" s="3142" t="s">
        <v>1537</v>
      </c>
      <c r="C178" s="3142"/>
      <c r="D178" s="3142"/>
      <c r="E178" s="3142"/>
      <c r="F178" s="3142"/>
      <c r="G178" s="3142"/>
      <c r="H178" s="3142"/>
      <c r="I178" s="3142"/>
      <c r="J178" s="3142"/>
      <c r="K178" s="3142"/>
      <c r="L178" s="3142"/>
      <c r="M178" s="3142"/>
      <c r="N178" s="3142"/>
      <c r="O178" s="3142"/>
      <c r="P178" s="3159" t="s">
        <v>1531</v>
      </c>
      <c r="Q178" s="3160"/>
      <c r="AA178" s="2094">
        <v>178</v>
      </c>
    </row>
    <row r="179" spans="1:27">
      <c r="A179" s="1583" t="s">
        <v>199</v>
      </c>
      <c r="B179" s="2546" t="s">
        <v>1538</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1539</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1540</v>
      </c>
      <c r="E181" s="3145"/>
      <c r="F181" s="3145"/>
      <c r="G181" s="3145"/>
      <c r="H181" s="3145"/>
      <c r="I181" s="3145"/>
      <c r="J181" s="3145"/>
      <c r="K181" s="3145"/>
      <c r="L181" s="3145"/>
      <c r="M181" s="3145"/>
      <c r="N181" s="3145"/>
      <c r="O181" s="3145"/>
      <c r="P181" s="3214">
        <f>'Part VIII Scoring Criteria'!O105</f>
        <v>6</v>
      </c>
      <c r="Q181" s="3215"/>
      <c r="AA181" s="2095"/>
    </row>
    <row r="182" spans="1:27" ht="12" customHeight="1">
      <c r="A182" s="1577"/>
      <c r="B182" s="2551"/>
      <c r="C182" s="1577"/>
      <c r="D182" s="1577"/>
      <c r="E182" s="1577"/>
      <c r="F182" s="1577"/>
      <c r="G182" s="1577"/>
      <c r="H182" s="1577"/>
      <c r="I182" s="1577"/>
      <c r="J182" s="1577"/>
      <c r="K182" s="1577"/>
      <c r="L182" s="3213" t="s">
        <v>1541</v>
      </c>
      <c r="M182" s="3213"/>
      <c r="N182" s="1575"/>
      <c r="O182" s="1577"/>
      <c r="P182" s="1610"/>
      <c r="Q182" s="1572"/>
      <c r="AA182" s="2094">
        <v>181</v>
      </c>
    </row>
    <row r="183" spans="1:27" ht="17.25" customHeight="1">
      <c r="A183" s="1583" t="s">
        <v>211</v>
      </c>
      <c r="B183" s="2546" t="s">
        <v>1542</v>
      </c>
      <c r="C183" s="2551"/>
      <c r="D183" s="1615"/>
      <c r="E183" s="1615"/>
      <c r="F183" s="1615"/>
      <c r="G183" s="1615"/>
      <c r="H183" s="1615"/>
      <c r="I183" s="1615"/>
      <c r="J183" s="1615"/>
      <c r="K183" s="1615"/>
      <c r="L183" s="2551" t="s">
        <v>1543</v>
      </c>
      <c r="M183" s="1575" t="s">
        <v>1544</v>
      </c>
      <c r="N183" s="1615"/>
      <c r="O183" s="2544"/>
      <c r="P183" s="2544"/>
      <c r="Q183" s="2544"/>
      <c r="AA183" s="2094">
        <v>182</v>
      </c>
    </row>
    <row r="184" spans="1:27" ht="15" customHeight="1">
      <c r="A184" s="1583"/>
      <c r="B184" s="2551" t="s">
        <v>1545</v>
      </c>
      <c r="C184" s="1577"/>
      <c r="D184" s="2552"/>
      <c r="E184" s="2552"/>
      <c r="F184" s="2552"/>
      <c r="G184" s="2552"/>
      <c r="H184" s="1577"/>
      <c r="I184" s="2551"/>
      <c r="J184" s="2551"/>
      <c r="K184" s="1616"/>
      <c r="L184" s="1617">
        <f>ROUNDUP('Part V-Revenues &amp; Expenses'!$P$67*M184,0)</f>
        <v>3</v>
      </c>
      <c r="M184" s="1618">
        <f>'DCA Underwriting Assumptions'!$Q$147</f>
        <v>0.05</v>
      </c>
      <c r="N184" s="1705" t="s">
        <v>1546</v>
      </c>
      <c r="O184" s="2544"/>
      <c r="P184" s="3154">
        <v>6</v>
      </c>
      <c r="Q184" s="3207"/>
      <c r="AA184" s="2094">
        <v>183</v>
      </c>
    </row>
    <row r="185" spans="1:27" ht="15" customHeight="1">
      <c r="A185" s="1583"/>
      <c r="B185" s="2550"/>
      <c r="C185" s="2551"/>
      <c r="D185" s="3142" t="s">
        <v>1547</v>
      </c>
      <c r="E185" s="3142"/>
      <c r="F185" s="3142"/>
      <c r="G185" s="3142"/>
      <c r="H185" s="3142"/>
      <c r="I185" s="3142"/>
      <c r="J185" s="3142"/>
      <c r="K185" s="1616"/>
      <c r="L185" s="1619">
        <f>ROUNDUP(L184*M185,0)</f>
        <v>2</v>
      </c>
      <c r="M185" s="1618">
        <f>'DCA Underwriting Assumptions'!$Q$148</f>
        <v>0.4</v>
      </c>
      <c r="N185" s="1705" t="s">
        <v>1548</v>
      </c>
      <c r="O185" s="2544"/>
      <c r="P185" s="3156">
        <v>3</v>
      </c>
      <c r="Q185" s="3209"/>
      <c r="AA185" s="2094">
        <v>184</v>
      </c>
    </row>
    <row r="186" spans="1:27" ht="15" customHeight="1">
      <c r="A186" s="1583"/>
      <c r="B186" s="3142" t="s">
        <v>1549</v>
      </c>
      <c r="C186" s="3142"/>
      <c r="D186" s="3142"/>
      <c r="E186" s="3142"/>
      <c r="F186" s="3142"/>
      <c r="G186" s="3142"/>
      <c r="H186" s="3142"/>
      <c r="I186" s="3142"/>
      <c r="J186" s="3142"/>
      <c r="K186" s="1577"/>
      <c r="L186" s="1620">
        <f>ROUNDUP('Part V-Revenues &amp; Expenses'!$P$67*M186,0)</f>
        <v>2</v>
      </c>
      <c r="M186" s="1618">
        <f>'DCA Underwriting Assumptions'!$Q$149</f>
        <v>0.02</v>
      </c>
      <c r="N186" s="1705" t="s">
        <v>1546</v>
      </c>
      <c r="O186" s="2544"/>
      <c r="P186" s="3159">
        <v>2</v>
      </c>
      <c r="Q186" s="3208"/>
      <c r="AA186" s="2094">
        <v>185</v>
      </c>
    </row>
    <row r="187" spans="1:27" ht="15" customHeight="1">
      <c r="A187" s="1583" t="s">
        <v>232</v>
      </c>
      <c r="B187" s="2546" t="s">
        <v>1550</v>
      </c>
      <c r="C187" s="2543"/>
      <c r="D187" s="2543"/>
      <c r="E187" s="2543"/>
      <c r="F187" s="2543"/>
      <c r="G187" s="2543"/>
      <c r="H187" s="2543"/>
      <c r="I187" s="2543"/>
      <c r="J187" s="2543"/>
      <c r="K187" s="1577"/>
      <c r="L187" s="1706"/>
      <c r="M187" s="1618"/>
      <c r="N187" s="1705"/>
      <c r="O187" s="2544"/>
      <c r="P187" s="2544"/>
      <c r="Q187" s="2544"/>
      <c r="AA187" s="2094">
        <v>186</v>
      </c>
    </row>
    <row r="188" spans="1:27" ht="15.75" customHeight="1">
      <c r="A188" s="1583"/>
      <c r="B188" s="2551" t="s">
        <v>1551</v>
      </c>
      <c r="C188" s="2551"/>
      <c r="D188" s="2551"/>
      <c r="E188" s="2551"/>
      <c r="F188" s="2551"/>
      <c r="G188" s="1577"/>
      <c r="H188" s="2551"/>
      <c r="I188" s="2551"/>
      <c r="J188" s="2551"/>
      <c r="K188" s="2551"/>
      <c r="L188" s="2551"/>
      <c r="M188" s="3210" t="s">
        <v>1552</v>
      </c>
      <c r="N188" s="3211"/>
      <c r="O188" s="3211"/>
      <c r="P188" s="3211"/>
      <c r="Q188" s="3212"/>
      <c r="AA188" s="2094">
        <v>187</v>
      </c>
    </row>
    <row r="189" spans="1:27" ht="15.75" customHeight="1">
      <c r="A189" s="1583"/>
      <c r="B189" s="2551"/>
      <c r="C189" s="1577"/>
      <c r="D189" s="2551" t="s">
        <v>1553</v>
      </c>
      <c r="E189" s="2551"/>
      <c r="F189" s="2551"/>
      <c r="G189" s="2551"/>
      <c r="H189" s="2551"/>
      <c r="I189" s="2551"/>
      <c r="J189" s="2551"/>
      <c r="K189" s="2551"/>
      <c r="L189" s="2551"/>
      <c r="M189" s="2551"/>
      <c r="N189" s="2551"/>
      <c r="O189" s="2544"/>
      <c r="P189" s="1597" t="s">
        <v>57</v>
      </c>
      <c r="Q189" s="1590"/>
      <c r="R189" s="2544"/>
      <c r="AA189" s="2094">
        <v>188</v>
      </c>
    </row>
    <row r="190" spans="1:27" ht="15.75" customHeight="1">
      <c r="A190" s="1583"/>
      <c r="B190" s="2551"/>
      <c r="C190" s="1577"/>
      <c r="D190" s="2551" t="s">
        <v>1554</v>
      </c>
      <c r="E190" s="2551"/>
      <c r="F190" s="2551"/>
      <c r="G190" s="2551"/>
      <c r="H190" s="2551"/>
      <c r="I190" s="2551"/>
      <c r="J190" s="2551"/>
      <c r="K190" s="2551"/>
      <c r="L190" s="2551"/>
      <c r="M190" s="2551"/>
      <c r="N190" s="2551"/>
      <c r="O190" s="2544"/>
      <c r="P190" s="1594" t="s">
        <v>57</v>
      </c>
      <c r="Q190" s="1595"/>
      <c r="R190" s="2544"/>
      <c r="AA190" s="2095">
        <v>189</v>
      </c>
    </row>
    <row r="191" spans="1:27" ht="15" customHeight="1">
      <c r="A191" s="2551"/>
      <c r="B191" s="1589" t="s">
        <v>1440</v>
      </c>
      <c r="C191" s="2551"/>
      <c r="D191" s="1589"/>
      <c r="E191" s="1589"/>
      <c r="F191" s="1589"/>
      <c r="G191" s="1589"/>
      <c r="H191" s="2550"/>
      <c r="I191" s="1575"/>
      <c r="J191" s="1575"/>
      <c r="K191" s="1575"/>
      <c r="L191" s="1572"/>
      <c r="M191" s="1572"/>
      <c r="N191" s="1572"/>
      <c r="O191" s="1572"/>
      <c r="P191" s="1572"/>
      <c r="Q191" s="1572"/>
      <c r="AA191" s="2094">
        <v>190</v>
      </c>
    </row>
    <row r="192" spans="1:27" ht="17.25" customHeight="1">
      <c r="A192" s="3134" t="s">
        <v>1555</v>
      </c>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1437</v>
      </c>
      <c r="C193" s="1579"/>
      <c r="D193" s="2543"/>
      <c r="E193" s="2543"/>
      <c r="F193" s="2543"/>
      <c r="G193" s="2543"/>
      <c r="H193" s="2543"/>
      <c r="I193" s="2543"/>
      <c r="J193" s="2543"/>
      <c r="K193" s="2543"/>
      <c r="L193" s="2543"/>
      <c r="M193" s="2543"/>
      <c r="N193" s="2543"/>
      <c r="O193" s="2543"/>
      <c r="P193" s="2543"/>
      <c r="Q193" s="2543"/>
      <c r="AA193" s="2094">
        <v>192</v>
      </c>
    </row>
    <row r="194" spans="1:27" ht="17.25"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1556</v>
      </c>
      <c r="B197" s="1573" t="s">
        <v>1557</v>
      </c>
      <c r="C197" s="1573"/>
      <c r="D197" s="1573"/>
      <c r="E197" s="1573"/>
      <c r="F197" s="1573"/>
      <c r="G197" s="1573"/>
      <c r="H197" s="2543"/>
      <c r="I197" s="2543"/>
      <c r="J197" s="2543"/>
      <c r="K197" s="2543"/>
      <c r="L197" s="2543"/>
      <c r="M197" s="2543"/>
      <c r="N197" s="2551"/>
      <c r="O197" s="1576" t="s">
        <v>1434</v>
      </c>
      <c r="P197" s="3140"/>
      <c r="Q197" s="3189"/>
      <c r="AA197" s="2094">
        <v>196</v>
      </c>
    </row>
    <row r="198" spans="1:27" ht="15" customHeight="1">
      <c r="A198" s="2551"/>
      <c r="B198" s="2551" t="s">
        <v>1520</v>
      </c>
      <c r="C198" s="2551"/>
      <c r="D198" s="2551"/>
      <c r="E198" s="2551"/>
      <c r="F198" s="2551"/>
      <c r="G198" s="2551"/>
      <c r="H198" s="2551"/>
      <c r="I198" s="2551"/>
      <c r="J198" s="2551"/>
      <c r="K198" s="2551"/>
      <c r="L198" s="2551"/>
      <c r="M198" s="2551"/>
      <c r="N198" s="2551"/>
      <c r="O198" s="2551"/>
      <c r="P198" s="3154" t="s">
        <v>57</v>
      </c>
      <c r="Q198" s="3207"/>
      <c r="AA198" s="2094">
        <v>197</v>
      </c>
    </row>
    <row r="199" spans="1:27" ht="28.5" customHeight="1">
      <c r="A199" s="2551"/>
      <c r="B199" s="3142" t="s">
        <v>1558</v>
      </c>
      <c r="C199" s="3142"/>
      <c r="D199" s="3142"/>
      <c r="E199" s="3142"/>
      <c r="F199" s="3142"/>
      <c r="G199" s="3142"/>
      <c r="H199" s="3142"/>
      <c r="I199" s="3142"/>
      <c r="J199" s="3142"/>
      <c r="K199" s="3142"/>
      <c r="L199" s="3142"/>
      <c r="M199" s="3142"/>
      <c r="N199" s="3142"/>
      <c r="O199" s="2551"/>
      <c r="P199" s="3159" t="s">
        <v>67</v>
      </c>
      <c r="Q199" s="3208"/>
      <c r="AA199" s="2095">
        <v>198</v>
      </c>
    </row>
    <row r="200" spans="1:27" ht="20.25" customHeight="1">
      <c r="A200" s="1583" t="s">
        <v>199</v>
      </c>
      <c r="B200" s="1573" t="s">
        <v>1559</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1509</v>
      </c>
      <c r="C201" s="3145" t="s">
        <v>1560</v>
      </c>
      <c r="D201" s="3145"/>
      <c r="E201" s="3145"/>
      <c r="F201" s="3199" t="s">
        <v>1561</v>
      </c>
      <c r="G201" s="3200"/>
      <c r="H201" s="3200"/>
      <c r="I201" s="3200"/>
      <c r="J201" s="3200"/>
      <c r="K201" s="3200"/>
      <c r="L201" s="3200"/>
      <c r="M201" s="3200"/>
      <c r="N201" s="3200"/>
      <c r="O201" s="3200"/>
      <c r="P201" s="3200"/>
      <c r="Q201" s="3201"/>
      <c r="AA201" s="2094">
        <v>200</v>
      </c>
    </row>
    <row r="202" spans="1:27" ht="30" customHeight="1">
      <c r="A202" s="2551"/>
      <c r="B202" s="1604" t="s">
        <v>1512</v>
      </c>
      <c r="C202" s="3145" t="s">
        <v>1562</v>
      </c>
      <c r="D202" s="3145"/>
      <c r="E202" s="3145"/>
      <c r="F202" s="3145"/>
      <c r="G202" s="3146"/>
      <c r="H202" s="3199" t="s">
        <v>1563</v>
      </c>
      <c r="I202" s="3200"/>
      <c r="J202" s="3200"/>
      <c r="K202" s="3200"/>
      <c r="L202" s="3200"/>
      <c r="M202" s="3200"/>
      <c r="N202" s="3200"/>
      <c r="O202" s="3200"/>
      <c r="P202" s="3200"/>
      <c r="Q202" s="3201"/>
      <c r="AA202" s="2094">
        <v>201</v>
      </c>
    </row>
    <row r="203" spans="1:27" ht="20.25" customHeight="1">
      <c r="A203" s="1583"/>
      <c r="B203" s="1604" t="s">
        <v>1514</v>
      </c>
      <c r="C203" s="3142" t="s">
        <v>1564</v>
      </c>
      <c r="D203" s="3142"/>
      <c r="E203" s="3142"/>
      <c r="F203" s="3142"/>
      <c r="G203" s="3142"/>
      <c r="H203" s="3142"/>
      <c r="I203" s="3142"/>
      <c r="J203" s="3142"/>
      <c r="K203" s="3142"/>
      <c r="L203" s="3142"/>
      <c r="M203" s="3142"/>
      <c r="N203" s="3142"/>
      <c r="O203" s="3142"/>
      <c r="P203" s="3142"/>
      <c r="Q203" s="3142"/>
      <c r="AA203" s="2094">
        <v>202</v>
      </c>
    </row>
    <row r="204" spans="1:27" ht="15.75"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75"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1440</v>
      </c>
      <c r="C206" s="2551"/>
      <c r="D206" s="1589"/>
      <c r="E206" s="1589"/>
      <c r="F206" s="1589"/>
      <c r="G206" s="1589"/>
      <c r="H206" s="2550"/>
      <c r="I206" s="1575"/>
      <c r="J206" s="1575"/>
      <c r="K206" s="1575"/>
      <c r="L206" s="1572"/>
      <c r="M206" s="1572"/>
      <c r="N206" s="1572"/>
      <c r="O206" s="1572"/>
      <c r="P206" s="1572"/>
      <c r="Q206" s="1572"/>
      <c r="AA206" s="2094">
        <v>205</v>
      </c>
    </row>
    <row r="207" spans="1:27" ht="20.25" customHeight="1">
      <c r="A207" s="3134" t="s">
        <v>1565</v>
      </c>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1437</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2"/>
      <c r="Q210" s="4582"/>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1566</v>
      </c>
      <c r="B212" s="2546" t="s">
        <v>1567</v>
      </c>
      <c r="C212" s="2546"/>
      <c r="D212" s="2543"/>
      <c r="E212" s="2543"/>
      <c r="F212" s="2543"/>
      <c r="G212" s="2543"/>
      <c r="H212" s="2543"/>
      <c r="I212" s="2551"/>
      <c r="J212" s="2551"/>
      <c r="K212" s="2551"/>
      <c r="L212" s="2551"/>
      <c r="M212" s="2551"/>
      <c r="N212" s="1596"/>
      <c r="O212" s="1576" t="s">
        <v>1434</v>
      </c>
      <c r="P212" s="3191"/>
      <c r="Q212" s="3192"/>
      <c r="AA212" s="2094">
        <v>211</v>
      </c>
    </row>
    <row r="213" spans="1:27" ht="15" customHeight="1">
      <c r="A213" s="1583"/>
      <c r="B213" s="2551" t="s">
        <v>1568</v>
      </c>
      <c r="C213" s="2551"/>
      <c r="D213" s="2551"/>
      <c r="E213" s="2551"/>
      <c r="F213" s="2551"/>
      <c r="G213" s="2551"/>
      <c r="H213" s="2551"/>
      <c r="I213" s="2551"/>
      <c r="J213" s="2551"/>
      <c r="K213" s="2551"/>
      <c r="L213" s="2551"/>
      <c r="M213" s="2551"/>
      <c r="N213" s="2551"/>
      <c r="O213" s="2544"/>
      <c r="P213" s="3193" t="s">
        <v>1569</v>
      </c>
      <c r="Q213" s="3194"/>
      <c r="AA213" s="2094">
        <v>212</v>
      </c>
    </row>
    <row r="214" spans="1:27" ht="15" customHeight="1">
      <c r="A214" s="1583"/>
      <c r="B214" s="2551" t="s">
        <v>1570</v>
      </c>
      <c r="C214" s="2551"/>
      <c r="D214" s="2551"/>
      <c r="E214" s="2551"/>
      <c r="F214" s="2551"/>
      <c r="G214" s="2551"/>
      <c r="H214" s="2551"/>
      <c r="I214" s="2551"/>
      <c r="J214" s="2551"/>
      <c r="K214" s="2551"/>
      <c r="L214" s="2551"/>
      <c r="M214" s="2551"/>
      <c r="N214" s="2551"/>
      <c r="O214" s="2544"/>
      <c r="P214" s="3195" t="s">
        <v>1569</v>
      </c>
      <c r="Q214" s="3196"/>
      <c r="AA214" s="2094">
        <v>213</v>
      </c>
    </row>
    <row r="215" spans="1:27" ht="15" customHeight="1">
      <c r="A215" s="1583"/>
      <c r="B215" s="2551" t="s">
        <v>1571</v>
      </c>
      <c r="C215" s="1577"/>
      <c r="D215" s="2551"/>
      <c r="E215" s="2551"/>
      <c r="F215" s="2551"/>
      <c r="G215" s="2551"/>
      <c r="H215" s="2551"/>
      <c r="I215" s="2551"/>
      <c r="J215" s="2551"/>
      <c r="K215" s="1575"/>
      <c r="L215" s="2551"/>
      <c r="M215" s="2544"/>
      <c r="N215" s="2551"/>
      <c r="O215" s="1621"/>
      <c r="P215" s="3195" t="s">
        <v>57</v>
      </c>
      <c r="Q215" s="3196"/>
      <c r="AA215" s="2094">
        <v>214</v>
      </c>
    </row>
    <row r="216" spans="1:27" ht="29.45" customHeight="1">
      <c r="A216" s="1583"/>
      <c r="B216" s="3142" t="s">
        <v>1572</v>
      </c>
      <c r="C216" s="3142"/>
      <c r="D216" s="3142"/>
      <c r="E216" s="3142"/>
      <c r="F216" s="3142"/>
      <c r="G216" s="3142"/>
      <c r="H216" s="3142"/>
      <c r="I216" s="3142"/>
      <c r="J216" s="3142"/>
      <c r="K216" s="3142"/>
      <c r="L216" s="3142"/>
      <c r="M216" s="3142"/>
      <c r="N216" s="3142"/>
      <c r="O216" s="3142"/>
      <c r="P216" s="3197" t="s">
        <v>57</v>
      </c>
      <c r="Q216" s="3198"/>
      <c r="AA216" s="2094">
        <v>215</v>
      </c>
    </row>
    <row r="217" spans="1:27" ht="15.75" customHeight="1">
      <c r="A217" s="1583"/>
      <c r="B217" s="2551" t="s">
        <v>1573</v>
      </c>
      <c r="C217" s="2551"/>
      <c r="D217" s="2551"/>
      <c r="E217" s="2551"/>
      <c r="F217" s="2551"/>
      <c r="G217" s="2551"/>
      <c r="H217" s="2551"/>
      <c r="I217" s="2551"/>
      <c r="J217" s="2551"/>
      <c r="K217" s="2551"/>
      <c r="L217" s="2551"/>
      <c r="M217" s="1577"/>
      <c r="N217" s="1577"/>
      <c r="O217" s="3181" t="s">
        <v>1574</v>
      </c>
      <c r="P217" s="3182"/>
      <c r="Q217" s="3183"/>
      <c r="AA217" s="2095">
        <v>216</v>
      </c>
    </row>
    <row r="218" spans="1:27" ht="15.75" customHeight="1">
      <c r="A218" s="1583"/>
      <c r="B218" s="1573" t="s">
        <v>1575</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1440</v>
      </c>
      <c r="C219" s="2551"/>
      <c r="D219" s="1589"/>
      <c r="E219" s="1589"/>
      <c r="F219" s="1589"/>
      <c r="G219" s="1589"/>
      <c r="H219" s="2550"/>
      <c r="I219" s="1575"/>
      <c r="J219" s="1575"/>
      <c r="K219" s="1575"/>
      <c r="L219" s="1572"/>
      <c r="M219" s="1572"/>
      <c r="N219" s="1572"/>
      <c r="O219" s="1572"/>
      <c r="P219" s="1572"/>
      <c r="Q219" s="1572"/>
      <c r="AA219" s="2094">
        <v>218</v>
      </c>
    </row>
    <row r="220" spans="1:27" ht="32.1" customHeight="1">
      <c r="A220" s="3178" t="s">
        <v>1576</v>
      </c>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1437</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1577</v>
      </c>
      <c r="B225" s="1573" t="s">
        <v>1578</v>
      </c>
      <c r="C225" s="1573"/>
      <c r="D225" s="1573"/>
      <c r="E225" s="1573"/>
      <c r="F225" s="1573"/>
      <c r="G225" s="1573"/>
      <c r="H225" s="2543"/>
      <c r="I225" s="2543"/>
      <c r="J225" s="2543"/>
      <c r="K225" s="2543"/>
      <c r="L225" s="2543"/>
      <c r="M225" s="2543"/>
      <c r="N225" s="1622"/>
      <c r="O225" s="1576" t="s">
        <v>1434</v>
      </c>
      <c r="P225" s="3140"/>
      <c r="Q225" s="3189"/>
      <c r="AA225" s="2094">
        <v>224</v>
      </c>
    </row>
    <row r="226" spans="1:28" ht="33.75" customHeight="1">
      <c r="A226" s="2546"/>
      <c r="B226" s="3142" t="s">
        <v>1579</v>
      </c>
      <c r="C226" s="3142"/>
      <c r="D226" s="3142"/>
      <c r="E226" s="3142"/>
      <c r="F226" s="3142"/>
      <c r="G226" s="3142"/>
      <c r="H226" s="3142"/>
      <c r="I226" s="3142"/>
      <c r="J226" s="3142"/>
      <c r="K226" s="3142"/>
      <c r="L226" s="3142"/>
      <c r="M226" s="3142"/>
      <c r="N226" s="3142"/>
      <c r="O226" s="3143"/>
      <c r="P226" s="3151"/>
      <c r="Q226" s="3152"/>
      <c r="AA226" s="2095">
        <v>225</v>
      </c>
    </row>
    <row r="227" spans="1:28" s="1623" customFormat="1">
      <c r="A227" s="1598" t="s">
        <v>199</v>
      </c>
      <c r="B227" s="1707" t="s">
        <v>1580</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1581</v>
      </c>
      <c r="D228" s="1688"/>
      <c r="E228" s="1688"/>
      <c r="G228" s="3145" t="s">
        <v>1582</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1583</v>
      </c>
      <c r="D229" s="3145"/>
      <c r="E229" s="3145"/>
      <c r="F229" s="3145"/>
      <c r="G229" s="3145" t="s">
        <v>1584</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211</v>
      </c>
      <c r="B230" s="3145" t="s">
        <v>1585</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232</v>
      </c>
      <c r="B231" s="2551" t="s">
        <v>1586</v>
      </c>
      <c r="C231" s="2551"/>
      <c r="D231" s="2551"/>
      <c r="E231" s="2551"/>
      <c r="F231" s="2551"/>
      <c r="G231" s="2551" t="s">
        <v>1587</v>
      </c>
      <c r="H231" s="2551"/>
      <c r="I231" s="2551"/>
      <c r="J231" s="2551"/>
      <c r="K231" s="2551"/>
      <c r="L231" s="2551"/>
      <c r="M231" s="2551"/>
      <c r="N231" s="2551"/>
      <c r="O231" s="2551"/>
      <c r="P231" s="2548"/>
      <c r="Q231" s="2542"/>
      <c r="AA231" s="2094">
        <v>230</v>
      </c>
    </row>
    <row r="232" spans="1:28" ht="45" customHeight="1">
      <c r="A232" s="1598" t="s">
        <v>234</v>
      </c>
      <c r="B232" s="3145" t="s">
        <v>1588</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1440</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1589</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1437</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1590</v>
      </c>
      <c r="B239" s="1573" t="s">
        <v>1591</v>
      </c>
      <c r="C239" s="1573"/>
      <c r="D239" s="1573"/>
      <c r="E239" s="1573"/>
      <c r="F239" s="1573"/>
      <c r="G239" s="1573"/>
      <c r="H239" s="2543"/>
      <c r="I239" s="2543"/>
      <c r="J239" s="2543"/>
      <c r="K239" s="2543"/>
      <c r="L239" s="2543"/>
      <c r="M239" s="2543"/>
      <c r="N239" s="1624"/>
      <c r="O239" s="1576" t="s">
        <v>1434</v>
      </c>
      <c r="P239" s="3140"/>
      <c r="Q239" s="3141"/>
      <c r="AA239" s="2094">
        <v>238</v>
      </c>
    </row>
    <row r="240" spans="1:28" ht="20.25" customHeight="1">
      <c r="A240" s="1583"/>
      <c r="B240" s="3169" t="s">
        <v>1592</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1593</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1594</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1440</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t="s">
        <v>1589</v>
      </c>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1437</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25"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25"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1595</v>
      </c>
      <c r="B249" s="1573" t="s">
        <v>1596</v>
      </c>
      <c r="C249" s="1573"/>
      <c r="D249" s="1573"/>
      <c r="E249" s="2543"/>
      <c r="F249" s="2551"/>
      <c r="G249" s="2551" t="s">
        <v>1597</v>
      </c>
      <c r="H249" s="2543"/>
      <c r="I249" s="2543"/>
      <c r="J249" s="2543"/>
      <c r="K249" s="2543"/>
      <c r="L249" s="2543"/>
      <c r="M249" s="2543"/>
      <c r="N249" s="2551"/>
      <c r="O249" s="1576" t="s">
        <v>1434</v>
      </c>
      <c r="P249" s="3140"/>
      <c r="Q249" s="3141"/>
      <c r="AA249" s="2094">
        <v>248</v>
      </c>
    </row>
    <row r="250" spans="1:27" ht="15.75" customHeight="1">
      <c r="A250" s="1583"/>
      <c r="B250" s="2551" t="s">
        <v>1598</v>
      </c>
      <c r="C250" s="2551"/>
      <c r="D250" s="2552"/>
      <c r="E250" s="2552"/>
      <c r="F250" s="2551"/>
      <c r="G250" s="2551"/>
      <c r="H250" s="2551"/>
      <c r="I250" s="2551"/>
      <c r="J250" s="2551"/>
      <c r="K250" s="2551"/>
      <c r="L250" s="2551"/>
      <c r="M250" s="2551"/>
      <c r="N250" s="2551"/>
      <c r="O250" s="2544"/>
      <c r="P250" s="3154" t="s">
        <v>57</v>
      </c>
      <c r="Q250" s="3155"/>
      <c r="AA250" s="2094">
        <v>249</v>
      </c>
    </row>
    <row r="251" spans="1:27" ht="15.75" customHeight="1">
      <c r="A251" s="1583"/>
      <c r="B251" s="2551" t="s">
        <v>1599</v>
      </c>
      <c r="C251" s="2551"/>
      <c r="D251" s="2552"/>
      <c r="E251" s="2552"/>
      <c r="F251" s="2551"/>
      <c r="G251" s="2551"/>
      <c r="H251" s="2551"/>
      <c r="I251" s="2551"/>
      <c r="J251" s="2551"/>
      <c r="K251" s="2551"/>
      <c r="L251" s="2551"/>
      <c r="M251" s="2551"/>
      <c r="N251" s="2551"/>
      <c r="O251" s="2544"/>
      <c r="P251" s="3156" t="s">
        <v>57</v>
      </c>
      <c r="Q251" s="3157"/>
      <c r="AA251" s="2094">
        <v>250</v>
      </c>
    </row>
    <row r="252" spans="1:27" ht="15.75" customHeight="1">
      <c r="A252" s="1583"/>
      <c r="B252" s="2551" t="s">
        <v>447</v>
      </c>
      <c r="C252" s="2551"/>
      <c r="D252" s="3134"/>
      <c r="E252" s="3135"/>
      <c r="F252" s="3135"/>
      <c r="G252" s="3135"/>
      <c r="H252" s="3135"/>
      <c r="I252" s="3135"/>
      <c r="J252" s="3135"/>
      <c r="K252" s="3135"/>
      <c r="L252" s="3135"/>
      <c r="M252" s="3135"/>
      <c r="N252" s="3135"/>
      <c r="O252" s="3135"/>
      <c r="P252" s="3161"/>
      <c r="Q252" s="3162"/>
      <c r="AA252" s="2094">
        <v>251</v>
      </c>
    </row>
    <row r="253" spans="1:27" ht="17.25" customHeight="1">
      <c r="A253" s="2551"/>
      <c r="B253" s="1589" t="s">
        <v>1440</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t="s">
        <v>1600</v>
      </c>
      <c r="B254" s="3135"/>
      <c r="C254" s="3135"/>
      <c r="D254" s="3135"/>
      <c r="E254" s="3135"/>
      <c r="F254" s="3135"/>
      <c r="G254" s="3135"/>
      <c r="H254" s="3135"/>
      <c r="I254" s="3135"/>
      <c r="J254" s="3135"/>
      <c r="K254" s="3135"/>
      <c r="L254" s="3135"/>
      <c r="M254" s="3135"/>
      <c r="N254" s="3135"/>
      <c r="O254" s="3135"/>
      <c r="P254" s="3135"/>
      <c r="Q254" s="3136"/>
      <c r="AA254" s="2094">
        <v>253</v>
      </c>
    </row>
    <row r="255" spans="1:27" ht="17.25" customHeight="1">
      <c r="A255" s="2551"/>
      <c r="B255" s="1578" t="s">
        <v>1437</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25"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25"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1601</v>
      </c>
      <c r="B259" s="1573" t="s">
        <v>1602</v>
      </c>
      <c r="C259" s="1573"/>
      <c r="D259" s="1573"/>
      <c r="E259" s="1573"/>
      <c r="F259" s="1573"/>
      <c r="G259" s="1573"/>
      <c r="H259" s="2543"/>
      <c r="I259" s="2543"/>
      <c r="J259" s="2543"/>
      <c r="K259" s="2543"/>
      <c r="L259" s="2543"/>
      <c r="M259" s="2543"/>
      <c r="N259" s="2551"/>
      <c r="O259" s="1576" t="s">
        <v>1434</v>
      </c>
      <c r="P259" s="3140"/>
      <c r="Q259" s="3141"/>
      <c r="AA259" s="2094">
        <v>258</v>
      </c>
    </row>
    <row r="260" spans="1:27" ht="15.75" customHeight="1">
      <c r="A260" s="2551"/>
      <c r="B260" s="2551" t="s">
        <v>1603</v>
      </c>
      <c r="C260" s="2551"/>
      <c r="D260" s="2551"/>
      <c r="E260" s="2551"/>
      <c r="F260" s="2551"/>
      <c r="G260" s="2551"/>
      <c r="H260" s="2551"/>
      <c r="I260" s="2551"/>
      <c r="J260" s="2551"/>
      <c r="K260" s="2551"/>
      <c r="L260" s="2551"/>
      <c r="M260" s="2551"/>
      <c r="N260" s="2551"/>
      <c r="O260" s="2544"/>
      <c r="P260" s="3151"/>
      <c r="Q260" s="3152"/>
      <c r="AA260" s="2094">
        <v>259</v>
      </c>
    </row>
    <row r="261" spans="1:27" ht="15.75" customHeight="1">
      <c r="A261" s="1583"/>
      <c r="B261" s="3153" t="s">
        <v>1604</v>
      </c>
      <c r="C261" s="3153"/>
      <c r="D261" s="3153"/>
      <c r="E261" s="3153"/>
      <c r="F261" s="3153"/>
      <c r="G261" s="3153"/>
      <c r="H261" s="3153"/>
      <c r="I261" s="3153"/>
      <c r="J261" s="3153"/>
      <c r="K261" s="3153"/>
      <c r="L261" s="3153"/>
      <c r="M261" s="3153"/>
      <c r="N261" s="3153"/>
      <c r="O261" s="3153"/>
      <c r="P261" s="3154"/>
      <c r="Q261" s="3155"/>
      <c r="AA261" s="2094">
        <v>260</v>
      </c>
    </row>
    <row r="262" spans="1:27" ht="15.75" customHeight="1">
      <c r="A262" s="2551"/>
      <c r="B262" s="3153" t="s">
        <v>1605</v>
      </c>
      <c r="C262" s="3153"/>
      <c r="D262" s="3153"/>
      <c r="E262" s="3153"/>
      <c r="F262" s="3153"/>
      <c r="G262" s="3153"/>
      <c r="H262" s="3153"/>
      <c r="I262" s="3153"/>
      <c r="J262" s="3153"/>
      <c r="K262" s="3153"/>
      <c r="L262" s="3153"/>
      <c r="M262" s="3153"/>
      <c r="N262" s="3153"/>
      <c r="O262" s="3153"/>
      <c r="P262" s="3156"/>
      <c r="Q262" s="3157"/>
      <c r="AA262" s="2095">
        <v>261</v>
      </c>
    </row>
    <row r="263" spans="1:27" ht="27.95" customHeight="1">
      <c r="A263" s="1583"/>
      <c r="B263" s="3158" t="s">
        <v>1606</v>
      </c>
      <c r="C263" s="3158"/>
      <c r="D263" s="3158"/>
      <c r="E263" s="3158"/>
      <c r="F263" s="3158"/>
      <c r="G263" s="3158"/>
      <c r="H263" s="3158"/>
      <c r="I263" s="3158"/>
      <c r="J263" s="3158"/>
      <c r="K263" s="3158"/>
      <c r="L263" s="3158"/>
      <c r="M263" s="3158"/>
      <c r="N263" s="3158"/>
      <c r="O263" s="3158"/>
      <c r="P263" s="3159"/>
      <c r="Q263" s="3160"/>
      <c r="AA263" s="2094">
        <v>262</v>
      </c>
    </row>
    <row r="264" spans="1:27" ht="17.25" customHeight="1">
      <c r="A264" s="2551"/>
      <c r="B264" s="1589" t="s">
        <v>1440</v>
      </c>
      <c r="C264" s="2551"/>
      <c r="D264" s="1589"/>
      <c r="E264" s="1589"/>
      <c r="F264" s="1589"/>
      <c r="G264" s="1589"/>
      <c r="H264" s="2550"/>
      <c r="I264" s="1575"/>
      <c r="J264" s="1575"/>
      <c r="K264" s="1575"/>
      <c r="L264" s="2551"/>
      <c r="M264" s="2551"/>
      <c r="N264" s="2551"/>
      <c r="O264" s="2551"/>
      <c r="P264" s="2551"/>
      <c r="Q264" s="2551"/>
      <c r="AA264" s="2094">
        <v>263</v>
      </c>
    </row>
    <row r="265" spans="1:27" ht="30.95" customHeight="1">
      <c r="A265" s="3134" t="s">
        <v>1607</v>
      </c>
      <c r="B265" s="3135"/>
      <c r="C265" s="3135"/>
      <c r="D265" s="3135"/>
      <c r="E265" s="3135"/>
      <c r="F265" s="3135"/>
      <c r="G265" s="3135"/>
      <c r="H265" s="3135"/>
      <c r="I265" s="3135"/>
      <c r="J265" s="3135"/>
      <c r="K265" s="3135"/>
      <c r="L265" s="3135"/>
      <c r="M265" s="3135"/>
      <c r="N265" s="3135"/>
      <c r="O265" s="3135"/>
      <c r="P265" s="3135"/>
      <c r="Q265" s="3136"/>
      <c r="AA265" s="2094">
        <v>264</v>
      </c>
    </row>
    <row r="266" spans="1:27" ht="17.25" customHeight="1">
      <c r="A266" s="2551"/>
      <c r="B266" s="1578" t="s">
        <v>1437</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25"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25"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1608</v>
      </c>
      <c r="B270" s="1573" t="s">
        <v>1609</v>
      </c>
      <c r="C270" s="1573"/>
      <c r="D270" s="1573"/>
      <c r="E270" s="2543"/>
      <c r="F270" s="2543"/>
      <c r="G270" s="2543"/>
      <c r="H270" s="2543"/>
      <c r="I270" s="2551"/>
      <c r="J270" s="2551"/>
      <c r="K270" s="2551"/>
      <c r="L270" s="2551"/>
      <c r="M270" s="2551"/>
      <c r="N270" s="2551"/>
      <c r="O270" s="1576" t="s">
        <v>1434</v>
      </c>
      <c r="P270" s="3148"/>
      <c r="Q270" s="3148"/>
      <c r="AA270" s="2094">
        <v>269</v>
      </c>
    </row>
    <row r="271" spans="1:27" ht="28.5" customHeight="1">
      <c r="A271" s="1577"/>
      <c r="B271" s="3142" t="s">
        <v>1610</v>
      </c>
      <c r="C271" s="3142"/>
      <c r="D271" s="3142"/>
      <c r="E271" s="3142"/>
      <c r="F271" s="3142"/>
      <c r="G271" s="3142"/>
      <c r="H271" s="3142"/>
      <c r="I271" s="3142"/>
      <c r="J271" s="3142"/>
      <c r="K271" s="3142"/>
      <c r="L271" s="3142"/>
      <c r="M271" s="3142"/>
      <c r="N271" s="3142"/>
      <c r="O271" s="1625"/>
      <c r="P271" s="3151" t="s">
        <v>1531</v>
      </c>
      <c r="Q271" s="3152"/>
      <c r="AA271" s="2095">
        <v>270</v>
      </c>
    </row>
    <row r="272" spans="1:27" ht="44.45" customHeight="1">
      <c r="A272" s="1598"/>
      <c r="B272" s="3145" t="s">
        <v>1611</v>
      </c>
      <c r="C272" s="3145"/>
      <c r="D272" s="3145"/>
      <c r="E272" s="3145"/>
      <c r="F272" s="3145"/>
      <c r="G272" s="3145"/>
      <c r="H272" s="3145"/>
      <c r="I272" s="3145"/>
      <c r="J272" s="3145"/>
      <c r="K272" s="3145"/>
      <c r="L272" s="3145"/>
      <c r="M272" s="3145"/>
      <c r="N272" s="3145"/>
      <c r="O272" s="3146"/>
      <c r="P272" s="3144" t="s">
        <v>1531</v>
      </c>
      <c r="Q272" s="3144"/>
      <c r="AA272" s="2094">
        <v>271</v>
      </c>
    </row>
    <row r="273" spans="1:27" ht="17.25" customHeight="1">
      <c r="A273" s="2551"/>
      <c r="B273" s="1589" t="s">
        <v>1440</v>
      </c>
      <c r="C273" s="2551"/>
      <c r="D273" s="1589"/>
      <c r="E273" s="1589"/>
      <c r="F273" s="1589"/>
      <c r="G273" s="1589"/>
      <c r="H273" s="2550"/>
      <c r="I273" s="1575"/>
      <c r="J273" s="1575"/>
      <c r="K273" s="1575"/>
      <c r="L273" s="1572"/>
      <c r="M273" s="1572"/>
      <c r="N273" s="1572"/>
      <c r="O273" s="1572"/>
      <c r="P273" s="1572"/>
      <c r="Q273" s="1572"/>
      <c r="AA273" s="2094">
        <v>272</v>
      </c>
    </row>
    <row r="274" spans="1:27" ht="20.25" customHeight="1">
      <c r="A274" s="3134" t="s">
        <v>1612</v>
      </c>
      <c r="B274" s="3135"/>
      <c r="C274" s="3135"/>
      <c r="D274" s="3135"/>
      <c r="E274" s="3135"/>
      <c r="F274" s="3135"/>
      <c r="G274" s="3135"/>
      <c r="H274" s="3135"/>
      <c r="I274" s="3135"/>
      <c r="J274" s="3135"/>
      <c r="K274" s="3135"/>
      <c r="L274" s="3135"/>
      <c r="M274" s="3135"/>
      <c r="N274" s="3135"/>
      <c r="O274" s="3135"/>
      <c r="P274" s="3135"/>
      <c r="Q274" s="3136"/>
      <c r="AA274" s="2094">
        <v>273</v>
      </c>
    </row>
    <row r="275" spans="1:27" ht="17.25" customHeight="1">
      <c r="A275" s="2551"/>
      <c r="B275" s="1578" t="s">
        <v>1437</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1613</v>
      </c>
      <c r="B279" s="2546" t="s">
        <v>1614</v>
      </c>
      <c r="C279" s="2543"/>
      <c r="D279" s="2543"/>
      <c r="E279" s="2543"/>
      <c r="F279" s="2543"/>
      <c r="G279" s="2543"/>
      <c r="H279" s="2543"/>
      <c r="I279" s="2543"/>
      <c r="J279" s="2543"/>
      <c r="K279" s="2543"/>
      <c r="L279" s="2543"/>
      <c r="M279" s="2543"/>
      <c r="N279" s="2551"/>
      <c r="O279" s="1576" t="s">
        <v>1434</v>
      </c>
      <c r="P279" s="3148"/>
      <c r="Q279" s="3148"/>
      <c r="AA279" s="2094">
        <v>278</v>
      </c>
    </row>
    <row r="280" spans="1:27" ht="14.25" customHeight="1">
      <c r="A280" s="1710" t="s">
        <v>199</v>
      </c>
      <c r="B280" s="2546" t="s">
        <v>1615</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1616</v>
      </c>
      <c r="C281" s="3145"/>
      <c r="D281" s="3145"/>
      <c r="E281" s="3145"/>
      <c r="F281" s="3145"/>
      <c r="G281" s="3145"/>
      <c r="H281" s="3145"/>
      <c r="I281" s="3145"/>
      <c r="J281" s="3145"/>
      <c r="K281" s="3145"/>
      <c r="L281" s="3145"/>
      <c r="M281" s="3145"/>
      <c r="N281" s="3145"/>
      <c r="O281" s="3146"/>
      <c r="P281" s="3149" t="s">
        <v>1531</v>
      </c>
      <c r="Q281" s="3150"/>
      <c r="AA281" s="2094">
        <v>280</v>
      </c>
    </row>
    <row r="282" spans="1:27" ht="14.25" customHeight="1">
      <c r="A282" s="1710" t="s">
        <v>211</v>
      </c>
      <c r="B282" s="2546" t="s">
        <v>1617</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1618</v>
      </c>
      <c r="C283" s="3145"/>
      <c r="D283" s="3145"/>
      <c r="E283" s="3145"/>
      <c r="F283" s="3145"/>
      <c r="G283" s="3145"/>
      <c r="H283" s="3145"/>
      <c r="I283" s="3145"/>
      <c r="J283" s="3145"/>
      <c r="K283" s="3145"/>
      <c r="L283" s="3145"/>
      <c r="M283" s="3145"/>
      <c r="N283" s="3145"/>
      <c r="O283" s="3146"/>
      <c r="P283" s="3149" t="s">
        <v>1531</v>
      </c>
      <c r="Q283" s="3150"/>
      <c r="AA283" s="2094">
        <v>282</v>
      </c>
    </row>
    <row r="284" spans="1:27" ht="20.25" customHeight="1">
      <c r="A284" s="2546"/>
      <c r="B284" s="1589" t="s">
        <v>1440</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t="s">
        <v>1619</v>
      </c>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1437</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1620</v>
      </c>
      <c r="B290" s="2546" t="s">
        <v>1621</v>
      </c>
      <c r="C290" s="2543"/>
      <c r="D290" s="2543"/>
      <c r="E290" s="2543"/>
      <c r="F290" s="2543"/>
      <c r="G290" s="2543"/>
      <c r="H290" s="2543"/>
      <c r="I290" s="2543"/>
      <c r="J290" s="2543"/>
      <c r="K290" s="2543"/>
      <c r="L290" s="2543"/>
      <c r="M290" s="2543"/>
      <c r="N290" s="2551"/>
      <c r="O290" s="1576" t="s">
        <v>1434</v>
      </c>
      <c r="P290" s="3148"/>
      <c r="Q290" s="3148"/>
      <c r="AA290" s="2094">
        <v>289</v>
      </c>
    </row>
    <row r="291" spans="1:27" ht="30.75" customHeight="1">
      <c r="A291" s="2546"/>
      <c r="B291" s="3142" t="s">
        <v>1622</v>
      </c>
      <c r="C291" s="3142"/>
      <c r="D291" s="3142"/>
      <c r="E291" s="3142"/>
      <c r="F291" s="3142"/>
      <c r="G291" s="3142"/>
      <c r="H291" s="3142"/>
      <c r="I291" s="3142"/>
      <c r="J291" s="3142"/>
      <c r="K291" s="3142"/>
      <c r="L291" s="3142"/>
      <c r="M291" s="3142"/>
      <c r="N291" s="3142"/>
      <c r="O291" s="3143"/>
      <c r="P291" s="3144" t="s">
        <v>67</v>
      </c>
      <c r="Q291" s="3144"/>
      <c r="AA291" s="2094">
        <v>290</v>
      </c>
    </row>
    <row r="292" spans="1:27" ht="20.25" customHeight="1">
      <c r="A292" s="2546"/>
      <c r="B292" s="1589" t="s">
        <v>1440</v>
      </c>
      <c r="C292" s="2551"/>
      <c r="D292" s="1589"/>
      <c r="E292" s="1589"/>
      <c r="F292" s="1589"/>
      <c r="G292" s="1589"/>
      <c r="H292" s="2550"/>
      <c r="I292" s="1575"/>
      <c r="J292" s="1575"/>
      <c r="K292" s="1575"/>
      <c r="L292" s="1572"/>
      <c r="M292" s="1572"/>
      <c r="N292" s="1572"/>
      <c r="O292" s="1572"/>
      <c r="P292" s="1572"/>
      <c r="Q292" s="1572"/>
      <c r="AA292" s="2094">
        <v>291</v>
      </c>
    </row>
    <row r="293" spans="1:27" ht="20.25" customHeight="1">
      <c r="A293" s="3134" t="s">
        <v>1623</v>
      </c>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1437</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1624</v>
      </c>
      <c r="B298" s="1573" t="s">
        <v>1625</v>
      </c>
      <c r="C298" s="1577"/>
      <c r="D298" s="1573"/>
      <c r="E298" s="2543"/>
      <c r="F298" s="2543"/>
      <c r="G298" s="2543"/>
      <c r="H298" s="2543"/>
      <c r="I298" s="2551"/>
      <c r="J298" s="2543"/>
      <c r="K298" s="2543"/>
      <c r="L298" s="2543"/>
      <c r="M298" s="2543"/>
      <c r="N298" s="2551"/>
      <c r="O298" s="1576" t="s">
        <v>1434</v>
      </c>
      <c r="P298" s="3140"/>
      <c r="Q298" s="3141"/>
      <c r="S298" s="1577"/>
      <c r="T298" s="1577"/>
      <c r="AA298" s="2095">
        <v>297</v>
      </c>
    </row>
    <row r="299" spans="1:27">
      <c r="A299" s="2546"/>
      <c r="B299" s="3142" t="s">
        <v>1626</v>
      </c>
      <c r="C299" s="3142"/>
      <c r="D299" s="3142"/>
      <c r="E299" s="3142"/>
      <c r="F299" s="3142"/>
      <c r="G299" s="3142"/>
      <c r="H299" s="3142"/>
      <c r="I299" s="3142"/>
      <c r="J299" s="3142"/>
      <c r="K299" s="3142"/>
      <c r="L299" s="3142"/>
      <c r="M299" s="3142"/>
      <c r="N299" s="3142"/>
      <c r="O299" s="3143"/>
      <c r="P299" s="3144" t="s">
        <v>67</v>
      </c>
      <c r="Q299" s="3144"/>
      <c r="AA299" s="2094">
        <v>298</v>
      </c>
    </row>
    <row r="300" spans="1:27" ht="30" customHeight="1">
      <c r="A300" s="2546"/>
      <c r="B300" s="3145" t="s">
        <v>1627</v>
      </c>
      <c r="C300" s="3145"/>
      <c r="D300" s="3145"/>
      <c r="E300" s="3145"/>
      <c r="F300" s="3145"/>
      <c r="G300" s="3145"/>
      <c r="H300" s="3145"/>
      <c r="I300" s="3145"/>
      <c r="J300" s="3145"/>
      <c r="K300" s="3145"/>
      <c r="L300" s="3145"/>
      <c r="M300" s="3145"/>
      <c r="N300" s="3145"/>
      <c r="O300" s="3146"/>
      <c r="P300" s="3147" t="s">
        <v>67</v>
      </c>
      <c r="Q300" s="3147"/>
      <c r="AA300" s="2094">
        <v>299</v>
      </c>
    </row>
    <row r="301" spans="1:27" ht="20.25" customHeight="1">
      <c r="A301" s="2546"/>
      <c r="B301" s="1589" t="s">
        <v>1440</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t="s">
        <v>1628</v>
      </c>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1437</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75"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1629</v>
      </c>
      <c r="B307" s="1573" t="s">
        <v>1630</v>
      </c>
      <c r="C307" s="1577"/>
      <c r="D307" s="1573"/>
      <c r="E307" s="2543"/>
      <c r="F307" s="2543"/>
      <c r="G307" s="2543"/>
      <c r="H307" s="2543"/>
      <c r="I307" s="2551"/>
      <c r="J307" s="2543"/>
      <c r="K307" s="2543"/>
      <c r="L307" s="2543"/>
      <c r="M307" s="2543"/>
      <c r="N307" s="2551"/>
      <c r="O307" s="1576" t="s">
        <v>1434</v>
      </c>
      <c r="P307" s="3140"/>
      <c r="Q307" s="3141"/>
      <c r="AA307" s="2095">
        <v>306</v>
      </c>
    </row>
    <row r="308" spans="1:27" ht="20.25" customHeight="1">
      <c r="A308" s="2546"/>
      <c r="B308" s="1589" t="s">
        <v>1440</v>
      </c>
      <c r="C308" s="2551"/>
      <c r="D308" s="1589"/>
      <c r="E308" s="1589"/>
      <c r="F308" s="1589"/>
      <c r="G308" s="1589"/>
      <c r="H308" s="2550"/>
      <c r="I308" s="1575"/>
      <c r="J308" s="1575"/>
      <c r="K308" s="1575"/>
      <c r="L308" s="1572"/>
      <c r="M308" s="1572"/>
      <c r="N308" s="1572"/>
      <c r="O308" s="1572"/>
      <c r="P308" s="1572"/>
      <c r="Q308" s="1572"/>
      <c r="AA308" s="2094">
        <v>307</v>
      </c>
    </row>
    <row r="309" spans="1:27" ht="39" customHeight="1">
      <c r="A309" s="3134" t="s">
        <v>1631</v>
      </c>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1437</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1515</v>
      </c>
      <c r="K385" s="2086"/>
      <c r="L385" s="2086"/>
      <c r="M385" s="2086"/>
      <c r="N385" s="2086"/>
      <c r="O385" s="2086" t="s">
        <v>726</v>
      </c>
      <c r="P385" s="2086"/>
      <c r="Q385" s="2086"/>
      <c r="R385" s="1621"/>
      <c r="S385" s="1621"/>
    </row>
    <row r="386" spans="1:20" ht="20.25" customHeight="1">
      <c r="A386" s="2086"/>
      <c r="B386" s="2086"/>
      <c r="C386" s="2086" t="s">
        <v>726</v>
      </c>
      <c r="D386" s="2086"/>
      <c r="E386" s="2086"/>
      <c r="F386" s="2086"/>
      <c r="G386" s="2086"/>
      <c r="H386" s="2086"/>
      <c r="I386" s="2086"/>
      <c r="J386" s="2087" t="s">
        <v>1632</v>
      </c>
      <c r="K386" s="2086"/>
      <c r="L386" s="2086"/>
      <c r="M386" s="2086"/>
      <c r="N386" s="2088"/>
      <c r="O386" s="2087" t="s">
        <v>1633</v>
      </c>
      <c r="P386" s="2089"/>
      <c r="Q386" s="2086"/>
      <c r="R386" s="1621"/>
      <c r="S386" s="1621"/>
      <c r="T386" s="1621"/>
    </row>
    <row r="387" spans="1:20" ht="20.25" customHeight="1">
      <c r="A387" s="2086"/>
      <c r="B387" s="2086"/>
      <c r="C387" s="2087" t="s">
        <v>1634</v>
      </c>
      <c r="D387" s="2086"/>
      <c r="E387" s="2086"/>
      <c r="F387" s="2086"/>
      <c r="G387" s="2086"/>
      <c r="H387" s="2086"/>
      <c r="I387" s="2086"/>
      <c r="J387" s="2087" t="s">
        <v>1635</v>
      </c>
      <c r="K387" s="2086"/>
      <c r="L387" s="2086"/>
      <c r="M387" s="2086"/>
      <c r="N387" s="2088"/>
      <c r="O387" s="2087" t="s">
        <v>1636</v>
      </c>
      <c r="P387" s="2089"/>
      <c r="Q387" s="2086"/>
      <c r="R387" s="1621"/>
      <c r="S387" s="1621"/>
      <c r="T387" s="1621"/>
    </row>
    <row r="388" spans="1:20" ht="20.25" customHeight="1">
      <c r="A388" s="2086"/>
      <c r="B388" s="2086"/>
      <c r="C388" s="2087" t="s">
        <v>1637</v>
      </c>
      <c r="D388" s="2086"/>
      <c r="E388" s="2086"/>
      <c r="F388" s="2086"/>
      <c r="G388" s="2086"/>
      <c r="H388" s="2086"/>
      <c r="I388" s="2086"/>
      <c r="J388" s="2087" t="s">
        <v>1638</v>
      </c>
      <c r="K388" s="2086"/>
      <c r="L388" s="2086"/>
      <c r="M388" s="2086"/>
      <c r="N388" s="2088"/>
      <c r="O388" s="2087" t="s">
        <v>1639</v>
      </c>
      <c r="P388" s="2089"/>
      <c r="Q388" s="2086"/>
      <c r="R388" s="1621"/>
      <c r="S388" s="1621"/>
      <c r="T388" s="1621"/>
    </row>
    <row r="389" spans="1:20" ht="20.25" customHeight="1">
      <c r="A389" s="2086"/>
      <c r="B389" s="2086"/>
      <c r="C389" s="2087" t="s">
        <v>1640</v>
      </c>
      <c r="D389" s="2086"/>
      <c r="E389" s="2086"/>
      <c r="F389" s="2086"/>
      <c r="G389" s="2086"/>
      <c r="H389" s="2086"/>
      <c r="I389" s="2086"/>
      <c r="J389" s="2087" t="s">
        <v>1641</v>
      </c>
      <c r="K389" s="2086"/>
      <c r="L389" s="2086"/>
      <c r="M389" s="2086"/>
      <c r="N389" s="2088"/>
      <c r="O389" s="2087" t="s">
        <v>1642</v>
      </c>
      <c r="P389" s="2089"/>
      <c r="Q389" s="2086"/>
      <c r="R389" s="1621"/>
      <c r="S389" s="1621"/>
      <c r="T389" s="1621"/>
    </row>
    <row r="390" spans="1:20" ht="20.25" customHeight="1">
      <c r="A390" s="2086"/>
      <c r="B390" s="2086"/>
      <c r="C390" s="2087" t="s">
        <v>1643</v>
      </c>
      <c r="D390" s="2086"/>
      <c r="E390" s="2086"/>
      <c r="F390" s="2086"/>
      <c r="G390" s="2086"/>
      <c r="H390" s="2086"/>
      <c r="I390" s="2086"/>
      <c r="J390" s="2087" t="s">
        <v>1644</v>
      </c>
      <c r="K390" s="2086"/>
      <c r="L390" s="2086"/>
      <c r="M390" s="2086"/>
      <c r="N390" s="2088"/>
      <c r="O390" s="2087" t="s">
        <v>1645</v>
      </c>
      <c r="P390" s="2089"/>
      <c r="Q390" s="2086"/>
      <c r="R390" s="1621"/>
      <c r="S390" s="1621"/>
      <c r="T390" s="1621"/>
    </row>
    <row r="391" spans="1:20" ht="20.25" customHeight="1">
      <c r="A391" s="2086"/>
      <c r="B391" s="2086"/>
      <c r="C391" s="2087" t="s">
        <v>1646</v>
      </c>
      <c r="D391" s="2086"/>
      <c r="E391" s="2086"/>
      <c r="F391" s="2086"/>
      <c r="G391" s="2086"/>
      <c r="H391" s="2086"/>
      <c r="I391" s="2086"/>
      <c r="J391" s="2087" t="s">
        <v>1647</v>
      </c>
      <c r="K391" s="2086"/>
      <c r="L391" s="2086"/>
      <c r="M391" s="2086"/>
      <c r="N391" s="2088"/>
      <c r="O391" s="2087" t="s">
        <v>1648</v>
      </c>
      <c r="P391" s="2089"/>
      <c r="Q391" s="2086"/>
      <c r="R391" s="1621"/>
      <c r="S391" s="1621"/>
      <c r="T391" s="1621"/>
    </row>
    <row r="392" spans="1:20" ht="20.25" customHeight="1">
      <c r="A392" s="2086"/>
      <c r="B392" s="2086"/>
      <c r="C392" s="2087" t="s">
        <v>1649</v>
      </c>
      <c r="D392" s="2086"/>
      <c r="E392" s="2086"/>
      <c r="F392" s="2086"/>
      <c r="G392" s="2086"/>
      <c r="H392" s="2086"/>
      <c r="I392" s="2086"/>
      <c r="J392" s="2087" t="s">
        <v>1650</v>
      </c>
      <c r="K392" s="2086"/>
      <c r="L392" s="2086"/>
      <c r="M392" s="2086"/>
      <c r="N392" s="2088"/>
      <c r="O392" s="2087" t="s">
        <v>1651</v>
      </c>
      <c r="P392" s="2089"/>
      <c r="Q392" s="2086"/>
      <c r="R392" s="1621"/>
      <c r="S392" s="1621"/>
      <c r="T392" s="1621"/>
    </row>
    <row r="393" spans="1:20" ht="20.25" customHeight="1">
      <c r="A393" s="2086"/>
      <c r="B393" s="2086"/>
      <c r="C393" s="2087" t="s">
        <v>1652</v>
      </c>
      <c r="D393" s="2086"/>
      <c r="E393" s="2086"/>
      <c r="F393" s="2086"/>
      <c r="G393" s="2086"/>
      <c r="H393" s="2086"/>
      <c r="I393" s="2086"/>
      <c r="J393" s="2087" t="s">
        <v>1653</v>
      </c>
      <c r="K393" s="2086"/>
      <c r="L393" s="2086"/>
      <c r="M393" s="2086"/>
      <c r="N393" s="2088"/>
      <c r="O393" s="2086" t="s">
        <v>1654</v>
      </c>
      <c r="P393" s="2089"/>
      <c r="Q393" s="2086"/>
      <c r="R393" s="1621"/>
      <c r="S393" s="1621"/>
      <c r="T393" s="1621"/>
    </row>
    <row r="394" spans="1:20" ht="20.25" customHeight="1">
      <c r="A394" s="2086"/>
      <c r="B394" s="2086"/>
      <c r="C394" s="2087" t="s">
        <v>1655</v>
      </c>
      <c r="D394" s="2086"/>
      <c r="E394" s="2086"/>
      <c r="F394" s="2086"/>
      <c r="G394" s="2086"/>
      <c r="H394" s="2086"/>
      <c r="I394" s="2086"/>
      <c r="J394" s="2087" t="s">
        <v>1656</v>
      </c>
      <c r="K394" s="2086"/>
      <c r="L394" s="2086"/>
      <c r="M394" s="2086"/>
      <c r="N394" s="2088"/>
      <c r="O394" s="2086" t="s">
        <v>1657</v>
      </c>
      <c r="P394" s="2089"/>
      <c r="Q394" s="2086"/>
      <c r="R394" s="1621"/>
      <c r="S394" s="1621"/>
      <c r="T394" s="1621"/>
    </row>
    <row r="395" spans="1:20" ht="20.25" customHeight="1">
      <c r="A395" s="2086"/>
      <c r="B395" s="2086"/>
      <c r="C395" s="2087" t="s">
        <v>1658</v>
      </c>
      <c r="D395" s="2086"/>
      <c r="E395" s="2086"/>
      <c r="F395" s="2086"/>
      <c r="G395" s="2086"/>
      <c r="H395" s="2086"/>
      <c r="I395" s="2086"/>
      <c r="J395" s="2087" t="s">
        <v>1659</v>
      </c>
      <c r="K395" s="2086"/>
      <c r="L395" s="2086"/>
      <c r="M395" s="2086"/>
      <c r="N395" s="2088"/>
      <c r="O395" s="2087"/>
      <c r="P395" s="2089"/>
      <c r="Q395" s="2086"/>
      <c r="R395" s="1621"/>
      <c r="S395" s="1621"/>
      <c r="T395" s="1621"/>
    </row>
    <row r="396" spans="1:20" ht="20.25" customHeight="1">
      <c r="A396" s="2086"/>
      <c r="B396" s="2086"/>
      <c r="C396" s="2087" t="s">
        <v>1660</v>
      </c>
      <c r="D396" s="2086"/>
      <c r="E396" s="2086"/>
      <c r="F396" s="2086"/>
      <c r="G396" s="2086"/>
      <c r="H396" s="2086"/>
      <c r="I396" s="2086"/>
      <c r="J396" s="2087" t="s">
        <v>1661</v>
      </c>
      <c r="K396" s="2086"/>
      <c r="L396" s="2086"/>
      <c r="M396" s="2086"/>
      <c r="N396" s="2088"/>
      <c r="O396" s="2086" t="s">
        <v>726</v>
      </c>
      <c r="P396" s="2089"/>
      <c r="Q396" s="2086"/>
      <c r="R396" s="1621"/>
      <c r="S396" s="1621"/>
      <c r="T396" s="1621"/>
    </row>
    <row r="397" spans="1:20" ht="20.25" customHeight="1">
      <c r="A397" s="2086"/>
      <c r="B397" s="2086"/>
      <c r="C397" s="2087" t="s">
        <v>1662</v>
      </c>
      <c r="D397" s="2086"/>
      <c r="E397" s="2086"/>
      <c r="F397" s="2086"/>
      <c r="G397" s="2086"/>
      <c r="H397" s="2086"/>
      <c r="I397" s="2086"/>
      <c r="J397" s="2087" t="s">
        <v>1663</v>
      </c>
      <c r="K397" s="2086"/>
      <c r="L397" s="2086"/>
      <c r="M397" s="2086"/>
      <c r="N397" s="2088"/>
      <c r="O397" s="2087" t="s">
        <v>1574</v>
      </c>
      <c r="P397" s="2089"/>
      <c r="Q397" s="2086"/>
      <c r="R397" s="1621"/>
      <c r="S397" s="1621"/>
      <c r="T397" s="1621"/>
    </row>
    <row r="398" spans="1:20" ht="20.25" customHeight="1">
      <c r="A398" s="2086"/>
      <c r="B398" s="2086"/>
      <c r="C398" s="2087" t="s">
        <v>1664</v>
      </c>
      <c r="D398" s="2086"/>
      <c r="E398" s="2086"/>
      <c r="F398" s="2086"/>
      <c r="G398" s="2086"/>
      <c r="H398" s="2086"/>
      <c r="I398" s="2086"/>
      <c r="J398" s="2086"/>
      <c r="K398" s="2086"/>
      <c r="L398" s="2086"/>
      <c r="M398" s="2086"/>
      <c r="N398" s="2088"/>
      <c r="O398" s="2087" t="s">
        <v>1665</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1666</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1667</v>
      </c>
      <c r="P400" s="2086"/>
      <c r="Q400" s="2086"/>
      <c r="R400" s="1621"/>
      <c r="S400" s="1621"/>
      <c r="T400" s="1621"/>
    </row>
    <row r="401" spans="1:20" ht="20.25" customHeight="1">
      <c r="A401" s="2086"/>
      <c r="B401" s="2086"/>
      <c r="C401" s="2090" t="s">
        <v>1668</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1669</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1670</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1671</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1672</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1673</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1674</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1675</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1676</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1677</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1678</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1674</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1679</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1680</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1681</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1682</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1683</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1684</v>
      </c>
      <c r="D418" s="2086"/>
      <c r="E418" s="2086"/>
      <c r="F418" s="2086"/>
      <c r="G418" s="2086"/>
      <c r="H418" s="2086"/>
      <c r="I418" s="2086"/>
      <c r="J418" s="2086"/>
      <c r="K418" s="2090" t="s">
        <v>1685</v>
      </c>
      <c r="L418" s="2087"/>
      <c r="M418" s="2086"/>
      <c r="N418" s="2086"/>
      <c r="O418" s="2086"/>
      <c r="P418" s="2086"/>
      <c r="Q418" s="2086"/>
      <c r="R418" s="1621"/>
      <c r="S418" s="1621"/>
      <c r="T418" s="1621"/>
    </row>
    <row r="419" spans="1:28" ht="20.25" customHeight="1">
      <c r="A419" s="2086"/>
      <c r="B419" s="2086"/>
      <c r="C419" s="2086" t="s">
        <v>1686</v>
      </c>
      <c r="D419" s="2086"/>
      <c r="E419" s="2086"/>
      <c r="F419" s="2086"/>
      <c r="G419" s="2086"/>
      <c r="H419" s="2086"/>
      <c r="I419" s="2086"/>
      <c r="J419" s="2086"/>
      <c r="K419" s="2086" t="s">
        <v>1687</v>
      </c>
      <c r="L419" s="2087"/>
      <c r="M419" s="2086"/>
      <c r="N419" s="2086"/>
      <c r="O419" s="2086"/>
      <c r="P419" s="2086"/>
      <c r="Q419" s="2086"/>
      <c r="R419" s="1621"/>
      <c r="S419" s="1621"/>
      <c r="T419" s="1621"/>
    </row>
    <row r="420" spans="1:28" ht="20.25" customHeight="1">
      <c r="A420" s="2086"/>
      <c r="B420" s="2086"/>
      <c r="C420" s="2086" t="s">
        <v>1688</v>
      </c>
      <c r="D420" s="2086"/>
      <c r="E420" s="2086"/>
      <c r="F420" s="2086"/>
      <c r="G420" s="2086"/>
      <c r="H420" s="2086"/>
      <c r="I420" s="2086"/>
      <c r="J420" s="2086"/>
      <c r="K420" s="2086" t="s">
        <v>1563</v>
      </c>
      <c r="L420" s="2086"/>
      <c r="M420" s="2086"/>
      <c r="N420" s="2086"/>
      <c r="O420" s="2086"/>
      <c r="P420" s="2086"/>
      <c r="Q420" s="2086"/>
      <c r="R420" s="1621"/>
      <c r="S420" s="1621"/>
      <c r="T420" s="1621"/>
    </row>
    <row r="421" spans="1:28" ht="20.25" customHeight="1">
      <c r="A421" s="2086"/>
      <c r="B421" s="2086"/>
      <c r="C421" s="2087" t="s">
        <v>1689</v>
      </c>
      <c r="D421" s="2086"/>
      <c r="E421" s="2086"/>
      <c r="F421" s="2086"/>
      <c r="G421" s="2086"/>
      <c r="H421" s="2086"/>
      <c r="I421" s="2086"/>
      <c r="J421" s="2086"/>
      <c r="K421" s="2086" t="s">
        <v>1690</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1691</v>
      </c>
      <c r="D423" s="2086"/>
      <c r="E423" s="2086"/>
      <c r="F423" s="2086"/>
      <c r="G423" s="2086"/>
      <c r="H423" s="2086"/>
      <c r="I423" s="2086"/>
      <c r="J423" s="2086"/>
      <c r="K423" s="2090" t="s">
        <v>1692</v>
      </c>
      <c r="L423" s="2086"/>
      <c r="M423" s="2086"/>
      <c r="N423" s="2086"/>
      <c r="O423" s="2086"/>
      <c r="P423" s="2086"/>
      <c r="Q423" s="2086"/>
      <c r="R423" s="1621"/>
      <c r="S423" s="1621"/>
      <c r="T423" s="1621"/>
    </row>
    <row r="424" spans="1:28" ht="20.25" customHeight="1">
      <c r="A424" s="2086"/>
      <c r="B424" s="2086"/>
      <c r="C424" s="2086" t="s">
        <v>1693</v>
      </c>
      <c r="D424" s="2086"/>
      <c r="E424" s="2086"/>
      <c r="F424" s="2086"/>
      <c r="G424" s="2086"/>
      <c r="H424" s="2086"/>
      <c r="I424" s="2086"/>
      <c r="J424" s="2086"/>
      <c r="K424" s="2086" t="s">
        <v>1694</v>
      </c>
      <c r="L424" s="2086"/>
      <c r="M424" s="2086"/>
      <c r="N424" s="2086"/>
      <c r="O424" s="2086"/>
      <c r="P424" s="2086"/>
      <c r="Q424" s="2086"/>
      <c r="R424" s="1621"/>
      <c r="S424" s="1621"/>
      <c r="T424" s="1621"/>
    </row>
    <row r="425" spans="1:28" ht="20.25" customHeight="1">
      <c r="A425" s="2086"/>
      <c r="B425" s="2086"/>
      <c r="C425" s="2086" t="s">
        <v>1695</v>
      </c>
      <c r="D425" s="2086"/>
      <c r="E425" s="2086"/>
      <c r="F425" s="2086"/>
      <c r="G425" s="2086"/>
      <c r="H425" s="2086"/>
      <c r="I425" s="2086"/>
      <c r="J425" s="2086"/>
      <c r="K425" s="2086" t="s">
        <v>1561</v>
      </c>
      <c r="L425" s="2086"/>
      <c r="M425" s="2086"/>
      <c r="N425" s="2086"/>
      <c r="O425" s="2086"/>
      <c r="P425" s="2086"/>
      <c r="Q425" s="2086"/>
      <c r="R425" s="1621"/>
      <c r="S425" s="1621"/>
      <c r="T425" s="1621"/>
    </row>
    <row r="426" spans="1:28" ht="20.25" customHeight="1">
      <c r="A426" s="2086"/>
      <c r="B426" s="2086"/>
      <c r="C426" s="2086" t="s">
        <v>1696</v>
      </c>
      <c r="D426" s="2086"/>
      <c r="E426" s="2086"/>
      <c r="F426" s="2086"/>
      <c r="G426" s="2086"/>
      <c r="H426" s="2086"/>
      <c r="I426" s="2086"/>
      <c r="J426" s="2086"/>
      <c r="K426" s="2086" t="s">
        <v>1697</v>
      </c>
      <c r="L426" s="2086"/>
      <c r="M426" s="2086"/>
      <c r="N426" s="2086"/>
      <c r="O426" s="2086"/>
      <c r="P426" s="2086"/>
      <c r="Q426" s="2086"/>
      <c r="R426" s="1621"/>
      <c r="S426" s="1621"/>
      <c r="T426" s="1621"/>
    </row>
    <row r="427" spans="1:28" ht="20.25" customHeight="1">
      <c r="A427" s="2086"/>
      <c r="B427" s="2086"/>
      <c r="C427" s="2086" t="s">
        <v>1698</v>
      </c>
      <c r="D427" s="2086"/>
      <c r="E427" s="2086"/>
      <c r="F427" s="2086"/>
      <c r="G427" s="2086"/>
      <c r="H427" s="2086"/>
      <c r="I427" s="2086"/>
      <c r="J427" s="2086"/>
      <c r="K427" s="2086" t="s">
        <v>1699</v>
      </c>
      <c r="L427" s="2086"/>
      <c r="M427" s="2086"/>
      <c r="N427" s="2086"/>
      <c r="O427" s="2086"/>
      <c r="P427" s="2086"/>
      <c r="Q427" s="2086"/>
      <c r="R427" s="1621"/>
      <c r="S427" s="1621"/>
      <c r="T427" s="1621"/>
    </row>
    <row r="428" spans="1:28" ht="20.25" customHeight="1">
      <c r="A428" s="2086"/>
      <c r="B428" s="2086"/>
      <c r="C428" s="2086" t="s">
        <v>1700</v>
      </c>
      <c r="D428" s="2086"/>
      <c r="E428" s="2086"/>
      <c r="F428" s="2086"/>
      <c r="G428" s="2086"/>
      <c r="H428" s="2086"/>
      <c r="I428" s="2086"/>
      <c r="J428" s="2086"/>
      <c r="K428" s="2086" t="s">
        <v>1701</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1702</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1703</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1704</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1705</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1706</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1707</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1708</v>
      </c>
      <c r="D436" s="2086"/>
      <c r="E436" s="2086"/>
      <c r="F436" s="2086"/>
      <c r="G436" s="2086"/>
      <c r="H436" s="2086"/>
      <c r="I436" s="2086"/>
      <c r="J436" s="2086"/>
      <c r="K436" s="2086"/>
      <c r="L436" s="2086"/>
      <c r="M436" s="2090" t="s">
        <v>1709</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1515</v>
      </c>
      <c r="D437" s="2086"/>
      <c r="E437" s="2086"/>
      <c r="F437" s="2086"/>
      <c r="G437" s="2086"/>
      <c r="H437" s="2086"/>
      <c r="I437" s="2086"/>
      <c r="J437" s="2086"/>
      <c r="K437" s="2086"/>
      <c r="L437" s="2086"/>
      <c r="M437" s="2086" t="s">
        <v>1515</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1710</v>
      </c>
      <c r="D438" s="2086"/>
      <c r="E438" s="2086"/>
      <c r="F438" s="2086"/>
      <c r="G438" s="2086"/>
      <c r="H438" s="2086"/>
      <c r="I438" s="2086"/>
      <c r="J438" s="2086"/>
      <c r="K438" s="2086"/>
      <c r="L438" s="2086"/>
      <c r="M438" s="2086" t="s">
        <v>1711</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1712</v>
      </c>
      <c r="D439" s="2086"/>
      <c r="E439" s="2086"/>
      <c r="F439" s="2086"/>
      <c r="G439" s="2086"/>
      <c r="H439" s="2086"/>
      <c r="I439" s="2086"/>
      <c r="J439" s="2086"/>
      <c r="K439" s="2086"/>
      <c r="L439" s="2086"/>
      <c r="M439" s="2086" t="s">
        <v>1713</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1714</v>
      </c>
      <c r="D440" s="2086"/>
      <c r="E440" s="2086"/>
      <c r="F440" s="2086"/>
      <c r="G440" s="2086"/>
      <c r="H440" s="2086"/>
      <c r="I440" s="2086"/>
      <c r="J440" s="2086"/>
      <c r="K440" s="2086"/>
      <c r="L440" s="2086"/>
      <c r="M440" s="2086" t="s">
        <v>1510</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1715</v>
      </c>
      <c r="D441" s="2086"/>
      <c r="E441" s="2086"/>
      <c r="F441" s="2086"/>
      <c r="G441" s="2086"/>
      <c r="H441" s="2086"/>
      <c r="I441" s="2086"/>
      <c r="J441" s="2086"/>
      <c r="K441" s="2086"/>
      <c r="L441" s="2086"/>
      <c r="M441" s="2086" t="s">
        <v>1716</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1717</v>
      </c>
      <c r="D442" s="2086"/>
      <c r="E442" s="2086"/>
      <c r="F442" s="2086"/>
      <c r="G442" s="2086"/>
      <c r="H442" s="2086"/>
      <c r="I442" s="2086"/>
      <c r="J442" s="2086"/>
      <c r="K442" s="2086"/>
      <c r="L442" s="2086"/>
      <c r="M442" s="2086" t="s">
        <v>1718</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1719</v>
      </c>
      <c r="D443" s="2086"/>
      <c r="E443" s="2086"/>
      <c r="F443" s="2086"/>
      <c r="G443" s="2086"/>
      <c r="H443" s="2086"/>
      <c r="I443" s="2086"/>
      <c r="J443" s="2086"/>
      <c r="K443" s="2086"/>
      <c r="L443" s="2086"/>
      <c r="M443" s="2086" t="s">
        <v>1720</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1721</v>
      </c>
      <c r="D444" s="2086"/>
      <c r="E444" s="2086"/>
      <c r="F444" s="2086"/>
      <c r="G444" s="2086"/>
      <c r="H444" s="2086"/>
      <c r="I444" s="2086"/>
      <c r="J444" s="2086"/>
      <c r="K444" s="2086"/>
      <c r="L444" s="2086"/>
      <c r="M444" s="2086" t="s">
        <v>1513</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1663</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1722</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1532</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1723</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1533</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1724</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1725</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1726</v>
      </c>
      <c r="E453" s="2086"/>
      <c r="F453" s="2086"/>
      <c r="G453" s="2086"/>
      <c r="H453" s="2086"/>
      <c r="I453" s="2086"/>
      <c r="J453" s="2086"/>
      <c r="K453" s="2086"/>
      <c r="L453" s="2086"/>
      <c r="M453" s="2086" t="s">
        <v>1727</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1728</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1729</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1730</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1731</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1732</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1733</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zoomScale="120" zoomScaleNormal="120" workbookViewId="0">
      <selection activeCell="A326" sqref="A326:P326"/>
    </sheetView>
  </sheetViews>
  <sheetFormatPr defaultColWidth="9.28515625" defaultRowHeight="14.1"/>
  <cols>
    <col min="1" max="1" width="6" style="1726" customWidth="1"/>
    <col min="2" max="2" width="3.42578125" style="1726" customWidth="1"/>
    <col min="3" max="3" width="12.42578125" style="1726" customWidth="1"/>
    <col min="4" max="4" width="12.140625" style="1726" customWidth="1"/>
    <col min="5" max="5" width="7.42578125" style="1726" customWidth="1"/>
    <col min="6" max="6" width="13.42578125" style="1726" customWidth="1"/>
    <col min="7" max="9" width="14.140625" style="1726" customWidth="1"/>
    <col min="10" max="10" width="10.42578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25" customHeight="1">
      <c r="A1" s="3521" t="str">
        <f>CONCATENATE("PART EIGHT - SCORING CRITERIA","  -  ",'Part I-Project Identification'!$O$7," ",'Part I-Project Identification'!$F$26,", ",'Part I-Project Identification'!F27,", ",'Part I-Project Identification'!J27," County")</f>
        <v>PART EIGHT - SCORING CRITERIA  -  2024-0 Abbington Blue Ridge, Blue Ridge, Fannin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5"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4" t="s">
        <v>1734</v>
      </c>
      <c r="B3" s="3524"/>
      <c r="C3" s="3524"/>
      <c r="D3" s="3524"/>
      <c r="E3" s="3524"/>
      <c r="F3" s="3524"/>
      <c r="G3" s="3524"/>
      <c r="H3" s="3524"/>
      <c r="I3" s="3524"/>
      <c r="J3" s="3524"/>
      <c r="K3" s="3524"/>
      <c r="L3" s="3524"/>
      <c r="M3" s="1730" t="s">
        <v>1735</v>
      </c>
      <c r="N3" s="2559"/>
      <c r="O3" s="2555" t="s">
        <v>1736</v>
      </c>
      <c r="P3" s="1730" t="s">
        <v>774</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1737</v>
      </c>
      <c r="N4" s="1734"/>
      <c r="O4" s="1733" t="s">
        <v>1737</v>
      </c>
      <c r="P4" s="1733" t="s">
        <v>1737</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7</v>
      </c>
      <c r="C6" s="3525"/>
      <c r="D6" s="3525"/>
      <c r="E6" s="3525"/>
      <c r="F6" s="3525"/>
      <c r="L6" s="1729" t="s">
        <v>1738</v>
      </c>
      <c r="M6" s="1738"/>
      <c r="N6" s="1739"/>
      <c r="O6" s="1740">
        <f>O407</f>
        <v>80</v>
      </c>
      <c r="P6" s="1740">
        <f>P407</f>
        <v>12</v>
      </c>
      <c r="Q6" s="1741" t="s">
        <v>1739</v>
      </c>
      <c r="R6" s="1742"/>
      <c r="S6" s="1742"/>
      <c r="T6" s="1742"/>
      <c r="U6" s="1742"/>
      <c r="V6" s="1743"/>
      <c r="W6" s="1743"/>
      <c r="X6" s="1743"/>
      <c r="Y6" s="1743"/>
      <c r="AM6" s="2097">
        <v>6</v>
      </c>
    </row>
    <row r="7" spans="1:39" ht="3.75"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c r="A8" s="1748" t="s">
        <v>25</v>
      </c>
      <c r="B8" s="1749" t="s">
        <v>1740</v>
      </c>
      <c r="C8" s="1736"/>
      <c r="G8" s="1747"/>
      <c r="I8" s="1747"/>
      <c r="J8" s="1747"/>
      <c r="K8" s="1747"/>
      <c r="L8" s="1747"/>
      <c r="M8" s="1747"/>
      <c r="N8" s="1747"/>
      <c r="O8" s="1747"/>
      <c r="P8" s="1747"/>
      <c r="Q8" s="1742"/>
      <c r="AM8" s="2097">
        <v>8</v>
      </c>
    </row>
    <row r="9" spans="1:39" ht="8.25" customHeight="1">
      <c r="N9" s="2553"/>
      <c r="Q9" s="1750"/>
      <c r="AM9" s="2096">
        <v>9</v>
      </c>
    </row>
    <row r="10" spans="1:39" ht="13.5" customHeight="1">
      <c r="A10" s="3329" t="s">
        <v>1741</v>
      </c>
      <c r="B10" s="3329"/>
      <c r="C10" s="3329"/>
      <c r="D10" s="3329"/>
      <c r="E10" s="3526" t="str">
        <f>IF(OR((C12-A12&gt;0),(D12-A12&gt;0)),"Points Exceed Max!","")</f>
        <v/>
      </c>
      <c r="F10" s="3527" t="s">
        <v>1742</v>
      </c>
      <c r="G10" s="4583"/>
      <c r="H10" s="4583"/>
      <c r="I10" s="4584"/>
      <c r="J10" s="3531" t="s">
        <v>1743</v>
      </c>
      <c r="K10" s="4585"/>
      <c r="L10" s="4585"/>
      <c r="M10" s="4586"/>
      <c r="N10" s="2553"/>
      <c r="O10" s="3535" t="s">
        <v>1744</v>
      </c>
      <c r="P10" s="3535"/>
      <c r="Q10" s="1750"/>
      <c r="AM10" s="2096">
        <v>10</v>
      </c>
    </row>
    <row r="11" spans="1:39" ht="13.5" customHeight="1">
      <c r="A11" s="3537" t="s">
        <v>1735</v>
      </c>
      <c r="B11" s="3538"/>
      <c r="C11" s="1751" t="s">
        <v>1745</v>
      </c>
      <c r="D11" s="1752" t="s">
        <v>774</v>
      </c>
      <c r="E11" s="3526"/>
      <c r="F11" s="3528"/>
      <c r="G11" s="3529"/>
      <c r="H11" s="3529"/>
      <c r="I11" s="3530"/>
      <c r="J11" s="3532"/>
      <c r="K11" s="3533"/>
      <c r="L11" s="3533"/>
      <c r="M11" s="3534"/>
      <c r="N11" s="2553"/>
      <c r="O11" s="3536"/>
      <c r="P11" s="3536"/>
      <c r="AM11" s="2096">
        <v>11</v>
      </c>
    </row>
    <row r="12" spans="1:39" ht="10.5" customHeight="1">
      <c r="A12" s="3539">
        <v>33</v>
      </c>
      <c r="B12" s="3540"/>
      <c r="C12" s="3510">
        <f>IF($O$12="4%",O160+O169+O190+O206+O238+O265,0)</f>
        <v>0</v>
      </c>
      <c r="D12" s="3512">
        <f>IF($O$12="4%",P160+P169+P190+P206+P238+P265,0)</f>
        <v>0</v>
      </c>
      <c r="E12" s="3526"/>
      <c r="F12" s="3514" t="s">
        <v>1237</v>
      </c>
      <c r="G12" s="4587"/>
      <c r="H12" s="3517" t="s">
        <v>1746</v>
      </c>
      <c r="I12" s="4588"/>
      <c r="J12" s="4589" t="s">
        <v>1747</v>
      </c>
      <c r="K12" s="4589"/>
      <c r="L12" s="3517" t="s">
        <v>1748</v>
      </c>
      <c r="M12" s="4588"/>
      <c r="N12" s="2553"/>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3"/>
      <c r="O13" s="3543"/>
      <c r="P13" s="3544"/>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1749</v>
      </c>
      <c r="D15" s="3499"/>
      <c r="E15" s="3499"/>
      <c r="F15" s="3499"/>
      <c r="G15" s="3499"/>
      <c r="H15" s="3499"/>
      <c r="I15" s="3499"/>
      <c r="J15" s="3499"/>
      <c r="K15" s="3499"/>
      <c r="L15" s="3500"/>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1750</v>
      </c>
      <c r="D16" s="3502"/>
      <c r="E16" s="3502"/>
      <c r="F16" s="3502"/>
      <c r="G16" s="3503"/>
      <c r="H16" s="3504" t="s">
        <v>1751</v>
      </c>
      <c r="I16" s="3505"/>
      <c r="J16" s="3505"/>
      <c r="K16" s="3505"/>
      <c r="L16" s="3506"/>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1752</v>
      </c>
      <c r="D18" s="3508"/>
      <c r="E18" s="3508"/>
      <c r="F18" s="3508"/>
      <c r="G18" s="3508"/>
      <c r="H18" s="3508"/>
      <c r="I18" s="3508"/>
      <c r="J18" s="3508"/>
      <c r="K18" s="3508"/>
      <c r="L18" s="3508"/>
      <c r="M18" s="3509"/>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1753</v>
      </c>
      <c r="H20" s="1756"/>
      <c r="J20" s="2559"/>
      <c r="K20" s="1727"/>
      <c r="L20" s="1757" t="s">
        <v>1754</v>
      </c>
      <c r="M20" s="1729">
        <v>6</v>
      </c>
      <c r="N20" s="2559"/>
      <c r="O20" s="1758">
        <f>IF(AND(O21&gt;0,O25&gt;0),"AorB?",MIN($M20,SUM(O21,O25,O27)))</f>
        <v>6</v>
      </c>
      <c r="P20" s="1758">
        <f>IF(AND(P21&gt;0,P25&gt;0),"AorB?",MIN($M20,SUM(P21,P25,P27)))</f>
        <v>0</v>
      </c>
      <c r="Q20" s="1759" t="s">
        <v>787</v>
      </c>
      <c r="T20" s="1755"/>
      <c r="U20" s="1755"/>
      <c r="AM20" s="2097">
        <v>20</v>
      </c>
    </row>
    <row r="21" spans="1:39" s="1727" customFormat="1" ht="15.95" customHeight="1">
      <c r="A21" s="1729" t="s">
        <v>199</v>
      </c>
      <c r="B21" s="1736" t="s">
        <v>1755</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214</v>
      </c>
      <c r="C22" s="1756" t="s">
        <v>1756</v>
      </c>
      <c r="D22" s="1760"/>
      <c r="E22" s="1760"/>
      <c r="G22" s="1726"/>
      <c r="L22" s="1761"/>
      <c r="M22" s="2559">
        <v>5</v>
      </c>
      <c r="N22" s="1767"/>
      <c r="O22" s="1637" t="s">
        <v>67</v>
      </c>
      <c r="P22" s="1768"/>
      <c r="Q22" s="1764"/>
      <c r="R22" s="1765"/>
      <c r="T22" s="1755"/>
      <c r="U22" s="1755"/>
      <c r="AM22" s="2096">
        <v>22</v>
      </c>
    </row>
    <row r="23" spans="1:39" s="1727" customFormat="1" ht="15.95" customHeight="1">
      <c r="A23" s="1729"/>
      <c r="B23" s="1769" t="s">
        <v>222</v>
      </c>
      <c r="C23" s="1756" t="s">
        <v>1757</v>
      </c>
      <c r="D23" s="1760"/>
      <c r="E23" s="1760"/>
      <c r="G23" s="1726"/>
      <c r="L23" s="1761"/>
      <c r="M23" s="2559">
        <v>3</v>
      </c>
      <c r="N23" s="1767"/>
      <c r="O23" s="1639" t="s">
        <v>1758</v>
      </c>
      <c r="P23" s="1770"/>
      <c r="Q23" s="1764"/>
      <c r="R23" s="1765"/>
      <c r="T23" s="1755"/>
      <c r="U23" s="1755"/>
      <c r="AM23" s="2097">
        <v>23</v>
      </c>
    </row>
    <row r="24" spans="1:39" s="1727" customFormat="1" ht="15.95" customHeight="1">
      <c r="A24" s="1729"/>
      <c r="B24" s="1769" t="s">
        <v>226</v>
      </c>
      <c r="C24" s="1756" t="s">
        <v>1759</v>
      </c>
      <c r="D24" s="1760"/>
      <c r="E24" s="1760"/>
      <c r="G24" s="1726"/>
      <c r="K24" s="1762"/>
      <c r="M24" s="2559">
        <v>1</v>
      </c>
      <c r="N24" s="1767"/>
      <c r="O24" s="1636" t="s">
        <v>1758</v>
      </c>
      <c r="P24" s="1771"/>
      <c r="R24" s="1726"/>
      <c r="T24" s="1755"/>
      <c r="U24" s="1755"/>
      <c r="AM24" s="2097">
        <v>24</v>
      </c>
    </row>
    <row r="25" spans="1:39" ht="15.95" customHeight="1">
      <c r="A25" s="1729" t="s">
        <v>211</v>
      </c>
      <c r="B25" s="1736" t="s">
        <v>1760</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3" t="s">
        <v>1761</v>
      </c>
      <c r="C26" s="3453"/>
      <c r="D26" s="3453"/>
      <c r="E26" s="3453"/>
      <c r="F26" s="3453"/>
      <c r="G26" s="3453"/>
      <c r="H26" s="3453"/>
      <c r="I26" s="3453"/>
      <c r="J26" s="3453"/>
      <c r="K26" s="3453"/>
      <c r="L26" s="3453"/>
      <c r="M26" s="2559"/>
      <c r="N26" s="1762"/>
      <c r="O26" s="1653" t="s">
        <v>1758</v>
      </c>
      <c r="P26" s="1774"/>
      <c r="R26" s="1761"/>
      <c r="T26" s="1755"/>
      <c r="U26" s="1755"/>
      <c r="AM26" s="2097">
        <v>26</v>
      </c>
    </row>
    <row r="27" spans="1:39" ht="15.95" customHeight="1">
      <c r="A27" s="1729" t="s">
        <v>232</v>
      </c>
      <c r="B27" s="1736" t="s">
        <v>1762</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c r="B28" s="3435" t="s">
        <v>1763</v>
      </c>
      <c r="C28" s="3435"/>
      <c r="D28" s="3435"/>
      <c r="E28" s="3435"/>
      <c r="F28" s="3435"/>
      <c r="G28" s="3435"/>
      <c r="H28" s="3435"/>
      <c r="I28" s="3435"/>
      <c r="J28" s="3435"/>
      <c r="K28" s="3435"/>
      <c r="L28" s="3435"/>
      <c r="M28" s="2559"/>
      <c r="N28" s="2559"/>
      <c r="O28" s="2559"/>
      <c r="P28" s="2559"/>
      <c r="R28" s="1761"/>
      <c r="T28" s="1755"/>
      <c r="U28" s="1755"/>
      <c r="AM28" s="2097">
        <v>28</v>
      </c>
    </row>
    <row r="29" spans="1:39" s="1777" customFormat="1">
      <c r="B29" s="1769" t="s">
        <v>214</v>
      </c>
      <c r="C29" s="1776" t="s">
        <v>1764</v>
      </c>
      <c r="D29" s="2557"/>
      <c r="E29" s="2557"/>
      <c r="F29" s="2557"/>
      <c r="G29" s="2557"/>
      <c r="H29" s="2557"/>
      <c r="I29" s="2557"/>
      <c r="J29" s="2557"/>
      <c r="K29" s="2557"/>
      <c r="L29" s="2557"/>
      <c r="M29" s="1778"/>
      <c r="N29" s="1779"/>
      <c r="O29" s="1715" t="s">
        <v>57</v>
      </c>
      <c r="P29" s="1780"/>
      <c r="R29" s="1781"/>
      <c r="T29" s="1782"/>
      <c r="U29" s="1782"/>
      <c r="AM29" s="2096">
        <v>29</v>
      </c>
    </row>
    <row r="30" spans="1:39" s="1777" customFormat="1">
      <c r="B30" s="1769" t="s">
        <v>222</v>
      </c>
      <c r="C30" s="1776" t="s">
        <v>1765</v>
      </c>
      <c r="D30" s="2557"/>
      <c r="E30" s="2557"/>
      <c r="F30" s="2557"/>
      <c r="G30" s="2557"/>
      <c r="H30" s="2557"/>
      <c r="I30" s="2557"/>
      <c r="J30" s="2557"/>
      <c r="K30" s="2557"/>
      <c r="L30" s="2557"/>
      <c r="M30" s="1778"/>
      <c r="N30" s="1779"/>
      <c r="O30" s="1649" t="s">
        <v>57</v>
      </c>
      <c r="P30" s="1775"/>
      <c r="R30" s="1781"/>
      <c r="T30" s="1782"/>
      <c r="U30" s="1782"/>
      <c r="AM30" s="2096">
        <v>30</v>
      </c>
    </row>
    <row r="31" spans="1:39" s="1777" customFormat="1">
      <c r="B31" s="1776" t="s">
        <v>1766</v>
      </c>
      <c r="D31" s="2557"/>
      <c r="E31" s="2557"/>
      <c r="F31" s="2557"/>
      <c r="G31" s="2557"/>
      <c r="H31" s="2557"/>
      <c r="J31" s="3488" t="s">
        <v>1767</v>
      </c>
      <c r="K31" s="3489"/>
      <c r="L31" s="3489"/>
      <c r="M31" s="3490"/>
      <c r="N31" s="1779"/>
      <c r="O31" s="1779"/>
      <c r="P31" s="1779"/>
      <c r="R31" s="1781"/>
      <c r="T31" s="1782"/>
      <c r="U31" s="1782"/>
      <c r="AM31" s="2096">
        <v>31</v>
      </c>
    </row>
    <row r="32" spans="1:39" s="1777" customFormat="1">
      <c r="B32" s="1769" t="s">
        <v>226</v>
      </c>
      <c r="C32" s="3435" t="s">
        <v>1768</v>
      </c>
      <c r="D32" s="3435"/>
      <c r="E32" s="3435"/>
      <c r="F32" s="3435"/>
      <c r="G32" s="3435"/>
      <c r="H32" s="3435"/>
      <c r="I32" s="3435"/>
      <c r="J32" s="3435"/>
      <c r="K32" s="3435"/>
      <c r="L32" s="3435"/>
      <c r="M32" s="1778"/>
      <c r="N32" s="1779"/>
      <c r="O32" s="1650" t="s">
        <v>67</v>
      </c>
      <c r="P32" s="1870"/>
      <c r="R32" s="1781"/>
      <c r="T32" s="1782"/>
      <c r="U32" s="1782"/>
      <c r="AM32" s="2096">
        <v>32</v>
      </c>
    </row>
    <row r="33" spans="1:39" ht="15.95" customHeight="1">
      <c r="A33" s="1727"/>
      <c r="B33" s="1783" t="s">
        <v>1437</v>
      </c>
      <c r="C33" s="1784"/>
      <c r="D33" s="1783"/>
      <c r="E33" s="1785"/>
      <c r="F33" s="2557"/>
      <c r="G33" s="2557"/>
      <c r="H33" s="2557"/>
      <c r="I33" s="2557"/>
      <c r="J33" s="2557"/>
      <c r="K33" s="2557"/>
      <c r="L33" s="2557"/>
      <c r="M33" s="2557"/>
      <c r="N33" s="1786"/>
      <c r="O33" s="1787"/>
      <c r="P33" s="1729"/>
      <c r="AM33" s="2097">
        <v>33</v>
      </c>
    </row>
    <row r="34" spans="1:39" ht="15.95" customHeight="1">
      <c r="A34" s="3302"/>
      <c r="B34" s="3303"/>
      <c r="C34" s="3303"/>
      <c r="D34" s="3303"/>
      <c r="E34" s="3303"/>
      <c r="F34" s="3303"/>
      <c r="G34" s="3303"/>
      <c r="H34" s="3303"/>
      <c r="I34" s="3303"/>
      <c r="J34" s="3303"/>
      <c r="K34" s="3303"/>
      <c r="L34" s="3303"/>
      <c r="M34" s="3303"/>
      <c r="N34" s="3303"/>
      <c r="O34" s="3303"/>
      <c r="P34" s="3304"/>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52</v>
      </c>
      <c r="B37" s="1749" t="s">
        <v>1769</v>
      </c>
      <c r="D37" s="1749"/>
      <c r="E37" s="1749"/>
      <c r="G37" s="1789"/>
      <c r="L37" s="1790" t="str">
        <f>IF(AND(O44&gt;0,O46&gt;0), "Choose only one option!","")</f>
        <v/>
      </c>
      <c r="M37" s="1729">
        <v>2</v>
      </c>
      <c r="N37" s="2559"/>
      <c r="O37" s="1758">
        <f>IF(O44=$M$44,$M$44,IF(O46=$M$46,$M$46,0))</f>
        <v>2</v>
      </c>
      <c r="P37" s="1758">
        <f>IF(P44=$M$44,$M$44,IF(P46=$M$46,$M$46,0))</f>
        <v>0</v>
      </c>
      <c r="Q37" s="1759" t="s">
        <v>787</v>
      </c>
      <c r="R37" s="1724"/>
      <c r="S37" s="1724"/>
      <c r="T37" s="1724"/>
      <c r="U37" s="1724"/>
      <c r="V37" s="1724"/>
      <c r="AM37" s="2096">
        <v>37</v>
      </c>
    </row>
    <row r="38" spans="1:39" s="1727" customFormat="1" ht="15.95" customHeight="1">
      <c r="A38" s="1748"/>
      <c r="B38" s="1727" t="s">
        <v>1770</v>
      </c>
      <c r="D38" s="1749"/>
      <c r="E38" s="1749"/>
      <c r="J38" s="1791"/>
      <c r="M38" s="1792"/>
      <c r="O38" s="3491" t="s">
        <v>1771</v>
      </c>
      <c r="P38" s="3491" t="s">
        <v>1772</v>
      </c>
      <c r="Q38" s="1759"/>
      <c r="R38" s="1724"/>
      <c r="S38" s="1724"/>
      <c r="T38" s="1724"/>
      <c r="U38" s="1724"/>
      <c r="V38" s="1724"/>
      <c r="W38" s="1726"/>
      <c r="X38" s="1726"/>
      <c r="AM38" s="2097">
        <v>38</v>
      </c>
    </row>
    <row r="39" spans="1:39" s="1727" customFormat="1" ht="15.95" customHeight="1">
      <c r="A39" s="1748"/>
      <c r="C39" s="1727" t="s">
        <v>1773</v>
      </c>
      <c r="G39" s="3492" t="s">
        <v>1774</v>
      </c>
      <c r="H39" s="3493"/>
      <c r="I39" s="4590"/>
      <c r="J39" s="4591"/>
      <c r="K39" s="1965"/>
      <c r="M39" s="1792"/>
      <c r="O39" s="3422"/>
      <c r="P39" s="3422"/>
      <c r="Q39" s="1759"/>
      <c r="V39" s="1724"/>
      <c r="W39" s="1726"/>
      <c r="X39" s="1726"/>
      <c r="AM39" s="2096">
        <v>39</v>
      </c>
    </row>
    <row r="40" spans="1:39" s="1727" customFormat="1" ht="15.95" customHeight="1">
      <c r="A40" s="1748"/>
      <c r="C40" s="1727" t="s">
        <v>1775</v>
      </c>
      <c r="G40" s="3494" t="s">
        <v>726</v>
      </c>
      <c r="H40" s="3495"/>
      <c r="I40" s="1793"/>
      <c r="J40" s="4592"/>
      <c r="M40" s="1792"/>
      <c r="O40" s="3422"/>
      <c r="P40" s="3422"/>
      <c r="Q40" s="1759"/>
      <c r="V40" s="1724"/>
      <c r="W40" s="1726"/>
      <c r="X40" s="1726"/>
      <c r="AM40" s="2096">
        <v>40</v>
      </c>
    </row>
    <row r="41" spans="1:39" s="1727" customFormat="1" ht="15.95" customHeight="1">
      <c r="A41" s="1748"/>
      <c r="C41" s="1727" t="s">
        <v>1776</v>
      </c>
      <c r="G41" s="3496" t="s">
        <v>1774</v>
      </c>
      <c r="H41" s="3497"/>
      <c r="I41" s="1965"/>
      <c r="M41" s="1792"/>
      <c r="O41" s="3423"/>
      <c r="P41" s="3423"/>
      <c r="Q41" s="1759"/>
      <c r="V41" s="1724"/>
      <c r="W41" s="1726"/>
      <c r="X41" s="1726"/>
      <c r="AM41" s="2096">
        <v>41</v>
      </c>
    </row>
    <row r="42" spans="1:39" ht="28.5" customHeight="1" thickBot="1">
      <c r="A42" s="1795"/>
      <c r="B42" s="1762"/>
      <c r="C42" s="3453" t="s">
        <v>1777</v>
      </c>
      <c r="D42" s="3453"/>
      <c r="E42" s="3453"/>
      <c r="F42" s="3453"/>
      <c r="G42" s="3453"/>
      <c r="H42" s="3453"/>
      <c r="I42" s="3453"/>
      <c r="J42" s="3453"/>
      <c r="K42" s="3453"/>
      <c r="L42" s="3453"/>
      <c r="M42" s="1727"/>
      <c r="N42" s="1762"/>
      <c r="O42" s="2003" t="s">
        <v>67</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199</v>
      </c>
      <c r="B44" s="1796" t="s">
        <v>1778</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5" thickBot="1">
      <c r="A45" s="1798"/>
      <c r="B45" s="1776" t="s">
        <v>1779</v>
      </c>
      <c r="C45" s="1876"/>
      <c r="D45" s="1876"/>
      <c r="E45" s="1876"/>
      <c r="F45" s="1876"/>
      <c r="G45" s="1876"/>
      <c r="H45" s="1876"/>
      <c r="I45" s="1876"/>
      <c r="J45" s="1876"/>
      <c r="K45" s="1876"/>
      <c r="L45" s="1876"/>
      <c r="M45" s="1876"/>
      <c r="N45" s="1767"/>
      <c r="O45" s="1651" t="s">
        <v>67</v>
      </c>
      <c r="P45" s="1799"/>
      <c r="Q45" s="1800"/>
      <c r="R45" s="1801"/>
      <c r="S45" s="1801"/>
      <c r="T45" s="1801"/>
      <c r="U45" s="1801"/>
      <c r="AM45" s="2097">
        <v>45</v>
      </c>
    </row>
    <row r="46" spans="1:39" ht="15.95" customHeight="1" thickBot="1">
      <c r="A46" s="1729" t="s">
        <v>211</v>
      </c>
      <c r="B46" s="1796" t="s">
        <v>1780</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1781</v>
      </c>
      <c r="D47" s="1776"/>
      <c r="L47" s="1776"/>
      <c r="M47" s="2553"/>
      <c r="N47" s="1762"/>
      <c r="O47" s="1651" t="s">
        <v>1758</v>
      </c>
      <c r="P47" s="1799"/>
      <c r="Q47" s="1797"/>
      <c r="R47" s="1765"/>
      <c r="S47" s="1724"/>
      <c r="T47" s="1724"/>
      <c r="U47" s="1724"/>
      <c r="V47" s="1724"/>
      <c r="AM47" s="2096">
        <v>47</v>
      </c>
    </row>
    <row r="48" spans="1:39" ht="28.5" customHeight="1">
      <c r="A48" s="1729"/>
      <c r="B48" s="3435" t="s">
        <v>1782</v>
      </c>
      <c r="C48" s="3435"/>
      <c r="D48" s="3435"/>
      <c r="E48" s="3435"/>
      <c r="F48" s="3435"/>
      <c r="G48" s="3435"/>
      <c r="H48" s="3435"/>
      <c r="I48" s="3435"/>
      <c r="J48" s="3435"/>
      <c r="K48" s="3435"/>
      <c r="L48" s="3435"/>
      <c r="M48" s="3435"/>
      <c r="N48" s="1762"/>
      <c r="O48" s="1721" t="s">
        <v>1758</v>
      </c>
      <c r="P48" s="1802"/>
      <c r="Q48" s="1797"/>
      <c r="R48" s="1765"/>
      <c r="S48" s="1724"/>
      <c r="T48" s="1724"/>
      <c r="U48" s="1724"/>
      <c r="V48" s="1724"/>
      <c r="AM48" s="2097">
        <v>48</v>
      </c>
    </row>
    <row r="49" spans="1:39" ht="15.95" customHeight="1">
      <c r="A49" s="1727"/>
      <c r="B49" s="1747" t="s">
        <v>1783</v>
      </c>
      <c r="C49" s="1727"/>
      <c r="D49" s="1727"/>
      <c r="E49" s="1727"/>
      <c r="F49" s="1727"/>
      <c r="G49" s="1727"/>
      <c r="H49" s="1727"/>
      <c r="I49" s="1727"/>
      <c r="J49" s="1727"/>
      <c r="K49" s="1727"/>
      <c r="M49" s="2559"/>
      <c r="N49" s="2553"/>
      <c r="O49" s="1738"/>
      <c r="R49" s="1724"/>
      <c r="S49" s="1724"/>
      <c r="T49" s="1724"/>
      <c r="U49" s="1724"/>
      <c r="V49" s="1724"/>
      <c r="AM49" s="2096">
        <v>49</v>
      </c>
    </row>
    <row r="50" spans="1:39" ht="15.95" customHeight="1">
      <c r="A50" s="3322" t="s">
        <v>1784</v>
      </c>
      <c r="B50" s="3323"/>
      <c r="C50" s="3323"/>
      <c r="D50" s="3323"/>
      <c r="E50" s="3323"/>
      <c r="F50" s="3323"/>
      <c r="G50" s="3323"/>
      <c r="H50" s="3323"/>
      <c r="I50" s="3323"/>
      <c r="J50" s="3323"/>
      <c r="K50" s="3323"/>
      <c r="L50" s="3323"/>
      <c r="M50" s="3323"/>
      <c r="N50" s="3323"/>
      <c r="O50" s="3323"/>
      <c r="P50" s="3324"/>
      <c r="Q50" s="1804"/>
      <c r="AM50" s="2096">
        <v>50</v>
      </c>
    </row>
    <row r="51" spans="1:39" ht="15.95" customHeight="1">
      <c r="A51" s="1727"/>
      <c r="B51" s="1783" t="s">
        <v>1437</v>
      </c>
      <c r="C51" s="1727"/>
      <c r="D51" s="1783"/>
      <c r="E51" s="2557"/>
      <c r="F51" s="2557"/>
      <c r="G51" s="2557"/>
      <c r="H51" s="2557"/>
      <c r="I51" s="2557"/>
      <c r="J51" s="2557"/>
      <c r="K51" s="2557"/>
      <c r="L51" s="2557"/>
      <c r="M51" s="2557"/>
      <c r="N51" s="1786"/>
      <c r="O51" s="1787"/>
      <c r="P51" s="1729"/>
      <c r="AM51" s="2096">
        <v>51</v>
      </c>
    </row>
    <row r="52" spans="1:39" ht="15.95" customHeight="1">
      <c r="A52" s="3302"/>
      <c r="B52" s="3303"/>
      <c r="C52" s="3303"/>
      <c r="D52" s="3303"/>
      <c r="E52" s="3303"/>
      <c r="F52" s="3303"/>
      <c r="G52" s="3303"/>
      <c r="H52" s="3303"/>
      <c r="I52" s="3303"/>
      <c r="J52" s="3303"/>
      <c r="K52" s="3303"/>
      <c r="L52" s="3303"/>
      <c r="M52" s="3303"/>
      <c r="N52" s="3303"/>
      <c r="O52" s="3303"/>
      <c r="P52" s="3304"/>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70</v>
      </c>
      <c r="B55" s="1749" t="s">
        <v>1785</v>
      </c>
      <c r="D55" s="1805"/>
      <c r="E55" s="1805"/>
      <c r="F55" s="1727"/>
      <c r="G55" s="1727"/>
      <c r="H55" s="1727"/>
      <c r="J55" s="1806"/>
      <c r="K55" s="1792"/>
      <c r="L55" s="1757" t="s">
        <v>1754</v>
      </c>
      <c r="M55" s="1738">
        <v>5</v>
      </c>
      <c r="N55" s="2559"/>
      <c r="O55" s="1807">
        <f>O56+O78</f>
        <v>0</v>
      </c>
      <c r="P55" s="1807">
        <f>P56+P78</f>
        <v>0</v>
      </c>
      <c r="Q55" s="1759" t="s">
        <v>787</v>
      </c>
      <c r="AM55" s="2097">
        <v>55</v>
      </c>
    </row>
    <row r="56" spans="1:39" ht="15.95" customHeight="1" thickBot="1">
      <c r="A56" s="1808" t="s">
        <v>199</v>
      </c>
      <c r="B56" s="1736" t="s">
        <v>1786</v>
      </c>
      <c r="L56" s="1761" t="str">
        <f>IF(O56&lt;=M56,"","* * Check Score! * *")</f>
        <v/>
      </c>
      <c r="M56" s="2559">
        <v>4</v>
      </c>
      <c r="N56" s="1762"/>
      <c r="O56" s="1654"/>
      <c r="P56" s="1809"/>
      <c r="Q56" s="1764" t="str">
        <f>IF(O56&lt;=M56,"","*CHECK!*")</f>
        <v/>
      </c>
      <c r="R56" s="1741"/>
      <c r="S56" s="1741"/>
      <c r="T56" s="1725"/>
      <c r="AM56" s="2097">
        <v>56</v>
      </c>
    </row>
    <row r="57" spans="1:39" ht="30.95" customHeight="1">
      <c r="A57" s="1808"/>
      <c r="B57" s="3486" t="s">
        <v>1787</v>
      </c>
      <c r="C57" s="3486"/>
      <c r="D57" s="3486"/>
      <c r="E57" s="3486"/>
      <c r="F57" s="3486"/>
      <c r="G57" s="3486"/>
      <c r="H57" s="3486"/>
      <c r="I57" s="3486"/>
      <c r="J57" s="3486"/>
      <c r="K57" s="3486"/>
      <c r="L57" s="3486"/>
      <c r="N57" s="1726"/>
      <c r="O57" s="1655" t="s">
        <v>1758</v>
      </c>
      <c r="P57" s="1810"/>
      <c r="R57" s="1741"/>
      <c r="S57" s="1741"/>
      <c r="T57" s="1725"/>
      <c r="AM57" s="2096">
        <v>57</v>
      </c>
    </row>
    <row r="58" spans="1:39" ht="15.95" customHeight="1">
      <c r="A58" s="1808"/>
      <c r="B58" s="1811"/>
      <c r="C58" s="1777"/>
      <c r="D58" s="1777"/>
      <c r="E58" s="1777"/>
      <c r="F58" s="1777"/>
      <c r="G58" s="1777"/>
      <c r="H58" s="1777"/>
      <c r="I58" s="1777"/>
      <c r="J58" s="3487" t="s">
        <v>1788</v>
      </c>
      <c r="K58" s="3487"/>
      <c r="M58" s="3487" t="s">
        <v>1788</v>
      </c>
      <c r="N58" s="3487"/>
      <c r="O58" s="3487"/>
      <c r="P58" s="3487"/>
      <c r="R58" s="1812"/>
      <c r="S58" s="1812"/>
      <c r="T58" s="1725"/>
      <c r="AM58" s="2096">
        <v>58</v>
      </c>
    </row>
    <row r="59" spans="1:39" ht="14.25" customHeight="1">
      <c r="A59" s="1762"/>
      <c r="B59" s="1766" t="s">
        <v>214</v>
      </c>
      <c r="C59" s="1727" t="s">
        <v>1789</v>
      </c>
      <c r="I59" s="1762"/>
      <c r="J59" s="3481"/>
      <c r="K59" s="3482"/>
      <c r="L59" s="1762"/>
      <c r="M59" s="3483"/>
      <c r="N59" s="3484"/>
      <c r="O59" s="3484"/>
      <c r="P59" s="3485"/>
      <c r="R59" s="1761"/>
      <c r="AM59" s="2097">
        <v>59</v>
      </c>
    </row>
    <row r="60" spans="1:39" ht="14.25" customHeight="1">
      <c r="A60" s="1757"/>
      <c r="B60" s="1769" t="s">
        <v>222</v>
      </c>
      <c r="C60" s="1727" t="s">
        <v>1790</v>
      </c>
      <c r="I60" s="1779"/>
      <c r="J60" s="3473"/>
      <c r="K60" s="3474"/>
      <c r="L60" s="1779"/>
      <c r="M60" s="3475"/>
      <c r="N60" s="3476"/>
      <c r="O60" s="3476"/>
      <c r="P60" s="3477"/>
      <c r="AM60" s="2097">
        <v>60</v>
      </c>
    </row>
    <row r="61" spans="1:39" ht="14.25" customHeight="1">
      <c r="B61" s="1766" t="s">
        <v>226</v>
      </c>
      <c r="C61" s="1727" t="s">
        <v>1791</v>
      </c>
      <c r="I61" s="1762"/>
      <c r="J61" s="3473"/>
      <c r="K61" s="3474"/>
      <c r="L61" s="1762"/>
      <c r="M61" s="3475"/>
      <c r="N61" s="3476"/>
      <c r="O61" s="3476"/>
      <c r="P61" s="3477"/>
      <c r="AM61" s="2097">
        <v>61</v>
      </c>
    </row>
    <row r="62" spans="1:39" ht="14.25" customHeight="1">
      <c r="B62" s="1766" t="s">
        <v>266</v>
      </c>
      <c r="C62" s="1727" t="s">
        <v>1792</v>
      </c>
      <c r="I62" s="1762"/>
      <c r="J62" s="3473"/>
      <c r="K62" s="3474"/>
      <c r="L62" s="1762"/>
      <c r="M62" s="3475"/>
      <c r="N62" s="3476"/>
      <c r="O62" s="3476"/>
      <c r="P62" s="3477"/>
      <c r="AM62" s="2097">
        <v>62</v>
      </c>
    </row>
    <row r="63" spans="1:39" ht="14.25" customHeight="1">
      <c r="A63" s="1757"/>
      <c r="B63" s="1769" t="s">
        <v>268</v>
      </c>
      <c r="C63" s="1727" t="s">
        <v>1793</v>
      </c>
      <c r="I63" s="1762"/>
      <c r="J63" s="3473"/>
      <c r="K63" s="3474"/>
      <c r="L63" s="1762"/>
      <c r="M63" s="3475"/>
      <c r="N63" s="3476"/>
      <c r="O63" s="3476"/>
      <c r="P63" s="3477"/>
      <c r="AM63" s="2096">
        <v>63</v>
      </c>
    </row>
    <row r="64" spans="1:39" ht="14.25" customHeight="1">
      <c r="A64" s="1762"/>
      <c r="B64" s="1766" t="s">
        <v>270</v>
      </c>
      <c r="C64" s="1727" t="s">
        <v>1794</v>
      </c>
      <c r="I64" s="1779"/>
      <c r="J64" s="3473"/>
      <c r="K64" s="3474"/>
      <c r="L64" s="1779"/>
      <c r="M64" s="3475"/>
      <c r="N64" s="3476"/>
      <c r="O64" s="3476"/>
      <c r="P64" s="3477"/>
      <c r="AM64" s="2097">
        <v>64</v>
      </c>
    </row>
    <row r="65" spans="1:39" ht="14.25" customHeight="1">
      <c r="B65" s="1766" t="s">
        <v>272</v>
      </c>
      <c r="C65" s="1727" t="s">
        <v>1795</v>
      </c>
      <c r="I65" s="1762"/>
      <c r="J65" s="3473"/>
      <c r="K65" s="3474"/>
      <c r="L65" s="1762"/>
      <c r="M65" s="3475"/>
      <c r="N65" s="3476"/>
      <c r="O65" s="3476"/>
      <c r="P65" s="3477"/>
      <c r="AM65" s="2096">
        <v>65</v>
      </c>
    </row>
    <row r="66" spans="1:39" ht="14.25" customHeight="1">
      <c r="B66" s="1766" t="s">
        <v>274</v>
      </c>
      <c r="C66" s="1727" t="s">
        <v>1796</v>
      </c>
      <c r="I66" s="1762"/>
      <c r="J66" s="3473"/>
      <c r="K66" s="3474"/>
      <c r="L66" s="1762"/>
      <c r="M66" s="3475"/>
      <c r="N66" s="3476"/>
      <c r="O66" s="3476"/>
      <c r="P66" s="3477"/>
      <c r="R66" s="1761"/>
      <c r="AM66" s="2096">
        <v>66</v>
      </c>
    </row>
    <row r="67" spans="1:39" ht="14.25" customHeight="1">
      <c r="A67" s="1757"/>
      <c r="B67" s="1766" t="s">
        <v>276</v>
      </c>
      <c r="C67" s="1727" t="s">
        <v>1797</v>
      </c>
      <c r="I67" s="1762"/>
      <c r="J67" s="3473"/>
      <c r="K67" s="3474"/>
      <c r="L67" s="1762"/>
      <c r="M67" s="3475"/>
      <c r="N67" s="3476"/>
      <c r="O67" s="3476"/>
      <c r="P67" s="3477"/>
      <c r="R67" s="1761"/>
      <c r="AM67" s="2096">
        <v>67</v>
      </c>
    </row>
    <row r="68" spans="1:39" ht="14.25" customHeight="1">
      <c r="B68" s="1766" t="s">
        <v>1798</v>
      </c>
      <c r="C68" s="1727" t="s">
        <v>1799</v>
      </c>
      <c r="I68" s="1762"/>
      <c r="J68" s="3473"/>
      <c r="K68" s="3474"/>
      <c r="L68" s="1762"/>
      <c r="M68" s="3475"/>
      <c r="N68" s="3476"/>
      <c r="O68" s="3476"/>
      <c r="P68" s="3477"/>
      <c r="R68" s="1761"/>
      <c r="AM68" s="2096">
        <v>68</v>
      </c>
    </row>
    <row r="69" spans="1:39" ht="14.25" customHeight="1">
      <c r="B69" s="1766" t="s">
        <v>1800</v>
      </c>
      <c r="C69" s="1727" t="s">
        <v>1801</v>
      </c>
      <c r="I69" s="1762"/>
      <c r="J69" s="3473"/>
      <c r="K69" s="3474"/>
      <c r="L69" s="1762"/>
      <c r="M69" s="3475"/>
      <c r="N69" s="3476"/>
      <c r="O69" s="3476"/>
      <c r="P69" s="3477"/>
      <c r="R69" s="1761"/>
      <c r="AM69" s="2096">
        <v>69</v>
      </c>
    </row>
    <row r="70" spans="1:39" ht="14.25" customHeight="1" thickBot="1">
      <c r="B70" s="1766" t="s">
        <v>1802</v>
      </c>
      <c r="C70" s="1727" t="s">
        <v>1803</v>
      </c>
      <c r="I70" s="1762"/>
      <c r="J70" s="3473"/>
      <c r="K70" s="3474"/>
      <c r="L70" s="1762"/>
      <c r="M70" s="3478"/>
      <c r="N70" s="3479"/>
      <c r="O70" s="3479"/>
      <c r="P70" s="3480"/>
      <c r="R70" s="1761"/>
      <c r="AM70" s="2096">
        <v>70</v>
      </c>
    </row>
    <row r="71" spans="1:39" ht="15.95" customHeight="1" thickBot="1">
      <c r="B71" s="1727"/>
      <c r="I71" s="1744" t="s">
        <v>1804</v>
      </c>
      <c r="J71" s="3465">
        <f>SUM(J59:K70)</f>
        <v>0</v>
      </c>
      <c r="K71" s="3466"/>
      <c r="M71" s="3465">
        <f>SUM($M59:$M70)</f>
        <v>0</v>
      </c>
      <c r="N71" s="3467"/>
      <c r="O71" s="3467"/>
      <c r="P71" s="3466"/>
      <c r="U71" s="3329" t="s">
        <v>1805</v>
      </c>
      <c r="V71" s="3329"/>
      <c r="W71" s="3329"/>
      <c r="X71" s="3329"/>
      <c r="Y71" s="3329"/>
      <c r="Z71" s="3329"/>
      <c r="AM71" s="2097">
        <v>71</v>
      </c>
    </row>
    <row r="72" spans="1:39" ht="15.95" customHeight="1">
      <c r="M72" s="1741"/>
      <c r="N72" s="1741"/>
      <c r="O72" s="1726"/>
      <c r="P72" s="1741"/>
      <c r="U72" s="1813" t="s">
        <v>1806</v>
      </c>
      <c r="V72" s="1813" t="s">
        <v>1735</v>
      </c>
      <c r="W72" s="1813" t="s">
        <v>1806</v>
      </c>
      <c r="X72" s="1813" t="s">
        <v>1735</v>
      </c>
      <c r="Y72" s="1813" t="s">
        <v>1806</v>
      </c>
      <c r="Z72" s="1813" t="s">
        <v>1735</v>
      </c>
      <c r="AM72" s="2097">
        <v>72</v>
      </c>
    </row>
    <row r="73" spans="1:39" ht="15.95" customHeight="1">
      <c r="A73" s="1727"/>
      <c r="B73" s="1766"/>
      <c r="C73" s="1805" t="s">
        <v>1807</v>
      </c>
      <c r="D73" s="1743"/>
      <c r="E73" s="1743"/>
      <c r="I73" s="1762" t="s">
        <v>1808</v>
      </c>
      <c r="J73" s="3457">
        <f>'Part V-Revenues &amp; Expenses'!$P$67</f>
        <v>60</v>
      </c>
      <c r="K73" s="3458"/>
      <c r="L73" s="1741"/>
      <c r="M73" s="1741"/>
      <c r="N73" s="1741"/>
      <c r="O73" s="1726"/>
      <c r="P73" s="1741"/>
      <c r="R73" s="1814" t="s">
        <v>1809</v>
      </c>
      <c r="U73" s="1815">
        <v>500000</v>
      </c>
      <c r="V73" s="1816">
        <v>999999.99</v>
      </c>
      <c r="W73" s="1815">
        <v>1000000</v>
      </c>
      <c r="X73" s="1816">
        <v>1999999.99</v>
      </c>
      <c r="Y73" s="1815">
        <v>2000000</v>
      </c>
      <c r="Z73" s="1817"/>
      <c r="AM73" s="2097">
        <v>73</v>
      </c>
    </row>
    <row r="74" spans="1:39" ht="15.95" customHeight="1">
      <c r="C74" s="1743"/>
      <c r="D74" s="1743"/>
      <c r="E74" s="1743"/>
      <c r="I74" s="1818" t="s">
        <v>1810</v>
      </c>
      <c r="J74" s="3468">
        <f>IF(J73=0,0,J71/J73)</f>
        <v>0</v>
      </c>
      <c r="K74" s="3469"/>
      <c r="M74" s="3470">
        <f>IF(J73=0,0,M71/J73)</f>
        <v>0</v>
      </c>
      <c r="N74" s="3471"/>
      <c r="O74" s="3471"/>
      <c r="P74" s="3472"/>
      <c r="R74" s="1814" t="s">
        <v>1811</v>
      </c>
      <c r="U74" s="1819">
        <v>10000</v>
      </c>
      <c r="V74" s="1820">
        <v>19999.990000000002</v>
      </c>
      <c r="W74" s="1819">
        <v>20000</v>
      </c>
      <c r="X74" s="1820">
        <v>29999.99</v>
      </c>
      <c r="Y74" s="1819">
        <v>30000</v>
      </c>
      <c r="Z74" s="1821"/>
      <c r="AM74" s="2096">
        <v>74</v>
      </c>
    </row>
    <row r="75" spans="1:39" ht="15.95" customHeight="1">
      <c r="C75" s="1743"/>
      <c r="D75" s="1743"/>
      <c r="E75" s="1743"/>
      <c r="I75" s="1757" t="s">
        <v>1812</v>
      </c>
      <c r="J75" s="3457">
        <f>IF(AND(J62+J67&gt;0,J71&gt;=$Y$73),$Y$75, IF(AND(J62+J67=0,J71&gt;=$Y$73),$Y$76, IF(AND(J62+J67&gt;0,J71&gt;=$W$73),$W$75,IF(AND(J62+J67=0,J71&gt;=$W$73),$W$76, IF(AND(J62+J67&gt;0,J71&gt;=$U$73),$U$75,IF(AND(J62+J67=0,J71&gt;=$U$73),$U$76,0))))))</f>
        <v>0</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1813</v>
      </c>
      <c r="U75" s="3460">
        <v>2</v>
      </c>
      <c r="V75" s="3461"/>
      <c r="W75" s="3460">
        <v>3</v>
      </c>
      <c r="X75" s="3461"/>
      <c r="Y75" s="3460">
        <v>4</v>
      </c>
      <c r="Z75" s="3461"/>
      <c r="AM75" s="2096">
        <v>75</v>
      </c>
    </row>
    <row r="76" spans="1:39" ht="15.95" customHeight="1">
      <c r="C76" s="1743"/>
      <c r="D76" s="1743"/>
      <c r="E76" s="1743"/>
      <c r="I76" s="1757" t="s">
        <v>1814</v>
      </c>
      <c r="J76" s="3462">
        <f>IF(AND(J62+J67&gt;0,$J$74&gt;=$Y$74),$Y$75, IF(AND(J62+J67=0,$J$74&gt;=$Y$74),$Y$76, IF(AND(J62+J67&gt;0,$J$74&gt;=$W$74),$W$75,IF(AND(J62+J67=0,$J$74&gt;=$W$74),$W$76, IF(AND(J62+J67&gt;0,$J$74&gt;=$U$74),$U$75,IF(AND(J62+J67=0,$J$74&gt;=$U$74),$U$76,0))))))</f>
        <v>0</v>
      </c>
      <c r="K76" s="3463"/>
      <c r="L76" s="1741"/>
      <c r="M76" s="3462">
        <f>IF(AND(M62+M67&gt;0,$M$74&gt;=$Y$74),$Y$75, IF(AND(M62+M67=0,$M$74&gt;=$Y$74),$Y$76, IF(AND(M62+M67&gt;0,$M$74&gt;=$W$74),$W$75,IF(AND(M62+M67=0,$M$74&gt;=$W$74),$W$76, IF(AND(M62+M67&gt;0,$M$74&gt;=$U$74),$U$75,IF(AND(M62+M67=0,$M$74&gt;=$U$74),$U$76,0))))))</f>
        <v>0</v>
      </c>
      <c r="N76" s="3464"/>
      <c r="O76" s="3464">
        <f t="shared" ref="O76" si="0">IF(AND(O62+O67&gt;0,$J$73&gt;=$Y$74),$Y$75, IF(AND(O62+O67=0,$J$73&gt;=$Y$74),$Y$76, IF(AND(O62+O67&gt;0,$J$73&gt;=$W$74),$W$75,IF(AND(O62+O67=0,$J$73&gt;=$W$74),$W$76, IF(AND(O62+O67&gt;0,$J$73&gt;=$U$74),$U$75,IF(AND(O62+O67=0,$J$73&gt;=$U$74),$U$76,0))))))</f>
        <v>0</v>
      </c>
      <c r="P76" s="3463"/>
      <c r="R76" s="1814" t="s">
        <v>1815</v>
      </c>
      <c r="U76" s="3460">
        <v>1</v>
      </c>
      <c r="V76" s="3461"/>
      <c r="W76" s="3460">
        <v>2</v>
      </c>
      <c r="X76" s="3461"/>
      <c r="Y76" s="3460">
        <v>3</v>
      </c>
      <c r="Z76" s="3461"/>
      <c r="AM76" s="2097">
        <v>76</v>
      </c>
    </row>
    <row r="77" spans="1:39" ht="15.95" customHeight="1" thickBot="1">
      <c r="N77" s="2553"/>
      <c r="AM77" s="2096">
        <v>77</v>
      </c>
    </row>
    <row r="78" spans="1:39" ht="15.95" customHeight="1" thickBot="1">
      <c r="A78" s="1729" t="s">
        <v>211</v>
      </c>
      <c r="B78" s="1736" t="s">
        <v>1816</v>
      </c>
      <c r="D78" s="1727"/>
      <c r="F78" s="1822" t="s">
        <v>1817</v>
      </c>
      <c r="K78" s="1727"/>
      <c r="L78" s="1823" t="s">
        <v>1818</v>
      </c>
      <c r="M78" s="2559">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214</v>
      </c>
      <c r="C79" s="1756" t="s">
        <v>1819</v>
      </c>
      <c r="F79" s="1825" t="s">
        <v>1820</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222</v>
      </c>
      <c r="C80" s="1756" t="s">
        <v>1821</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1779</v>
      </c>
      <c r="D81" s="1876"/>
      <c r="E81" s="1876"/>
      <c r="F81" s="1876"/>
      <c r="G81" s="1876"/>
      <c r="H81" s="1876"/>
      <c r="I81" s="1876"/>
      <c r="J81" s="1876"/>
      <c r="K81" s="1876"/>
      <c r="L81" s="1876"/>
      <c r="M81" s="1876"/>
      <c r="N81" s="1829"/>
      <c r="O81" s="1656" t="s">
        <v>1758</v>
      </c>
      <c r="P81" s="1830"/>
      <c r="V81" s="1755"/>
      <c r="AM81" s="2097">
        <v>81</v>
      </c>
    </row>
    <row r="82" spans="1:39" ht="15.95" customHeight="1">
      <c r="A82" s="1744"/>
      <c r="B82" s="1803"/>
      <c r="C82" s="1727" t="s">
        <v>1822</v>
      </c>
      <c r="D82" s="1727"/>
      <c r="E82" s="1727"/>
      <c r="F82" s="1727"/>
      <c r="G82" s="1727"/>
      <c r="H82" s="1727"/>
      <c r="I82" s="1727"/>
      <c r="J82" s="1727"/>
      <c r="K82" s="1727"/>
      <c r="M82" s="1727"/>
      <c r="N82" s="1831"/>
      <c r="O82" s="1636" t="s">
        <v>1758</v>
      </c>
      <c r="P82" s="1771"/>
      <c r="V82" s="1755"/>
      <c r="AM82" s="2097">
        <v>82</v>
      </c>
    </row>
    <row r="83" spans="1:39" ht="15.95" customHeight="1">
      <c r="A83" s="1727"/>
      <c r="B83" s="1747" t="s">
        <v>1783</v>
      </c>
      <c r="C83" s="1727"/>
      <c r="D83" s="1727"/>
      <c r="E83" s="1727"/>
      <c r="F83" s="1727"/>
      <c r="G83" s="1727"/>
      <c r="H83" s="1727"/>
      <c r="I83" s="1727"/>
      <c r="J83" s="1727"/>
      <c r="K83" s="1727"/>
      <c r="M83" s="2559"/>
      <c r="N83" s="2553"/>
      <c r="O83" s="1738"/>
      <c r="AM83" s="2096">
        <v>83</v>
      </c>
    </row>
    <row r="84" spans="1:39" ht="15.95" customHeight="1">
      <c r="A84" s="3322" t="s">
        <v>1823</v>
      </c>
      <c r="B84" s="3323"/>
      <c r="C84" s="3323"/>
      <c r="D84" s="3323"/>
      <c r="E84" s="3323"/>
      <c r="F84" s="3323"/>
      <c r="G84" s="3323"/>
      <c r="H84" s="3323"/>
      <c r="I84" s="3323"/>
      <c r="J84" s="3323"/>
      <c r="K84" s="3323"/>
      <c r="L84" s="3323"/>
      <c r="M84" s="3323"/>
      <c r="N84" s="3323"/>
      <c r="O84" s="3323"/>
      <c r="P84" s="3324"/>
      <c r="Q84" s="1804"/>
      <c r="AM84" s="2097">
        <v>84</v>
      </c>
    </row>
    <row r="85" spans="1:39" s="1727" customFormat="1" ht="15.95" customHeight="1">
      <c r="B85" s="1832" t="s">
        <v>1437</v>
      </c>
      <c r="C85" s="1784"/>
      <c r="D85" s="1832"/>
      <c r="E85" s="1833"/>
      <c r="F85" s="2556"/>
      <c r="G85" s="2556"/>
      <c r="H85" s="2556"/>
      <c r="I85" s="2556"/>
      <c r="J85" s="2556"/>
      <c r="K85" s="2556"/>
      <c r="L85" s="2556"/>
      <c r="M85" s="2556"/>
      <c r="N85" s="2562"/>
      <c r="O85" s="2554"/>
      <c r="P85" s="1729"/>
      <c r="Q85" s="1726"/>
      <c r="AM85" s="2096">
        <v>85</v>
      </c>
    </row>
    <row r="86" spans="1:39" ht="15.95" customHeight="1">
      <c r="A86" s="3302"/>
      <c r="B86" s="3303"/>
      <c r="C86" s="3303"/>
      <c r="D86" s="3303"/>
      <c r="E86" s="3303"/>
      <c r="F86" s="3303"/>
      <c r="G86" s="3303"/>
      <c r="H86" s="3303"/>
      <c r="I86" s="3303"/>
      <c r="J86" s="3303"/>
      <c r="K86" s="3303"/>
      <c r="L86" s="3303"/>
      <c r="M86" s="3303"/>
      <c r="N86" s="3303"/>
      <c r="O86" s="3303"/>
      <c r="P86" s="3304"/>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79</v>
      </c>
      <c r="B89" s="1749" t="s">
        <v>1824</v>
      </c>
      <c r="D89" s="1749"/>
      <c r="E89" s="1749"/>
      <c r="K89" s="1761"/>
      <c r="L89" s="1757" t="s">
        <v>1754</v>
      </c>
      <c r="M89" s="1729">
        <v>10</v>
      </c>
      <c r="N89" s="2559"/>
      <c r="O89" s="1758">
        <f>MIN($M$89,O91-O92+O95)</f>
        <v>10</v>
      </c>
      <c r="P89" s="1758">
        <f>MIN($M$89,P91-P92+P95)</f>
        <v>10</v>
      </c>
      <c r="Q89" s="1759" t="s">
        <v>787</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1825</v>
      </c>
      <c r="D91" s="1749"/>
      <c r="E91" s="1749"/>
      <c r="L91" s="1761"/>
      <c r="M91" s="1729"/>
      <c r="N91" s="2559"/>
      <c r="O91" s="1835">
        <v>10</v>
      </c>
      <c r="P91" s="1835">
        <v>10</v>
      </c>
      <c r="Q91" s="1759"/>
      <c r="AM91" s="2097">
        <v>91</v>
      </c>
    </row>
    <row r="92" spans="1:39" s="1727" customFormat="1" ht="15.95" customHeight="1">
      <c r="A92" s="1729" t="s">
        <v>199</v>
      </c>
      <c r="B92" s="1736" t="s">
        <v>1826</v>
      </c>
      <c r="D92" s="1749"/>
      <c r="E92" s="1749"/>
      <c r="L92" s="1761"/>
      <c r="M92" s="1729"/>
      <c r="N92" s="2559"/>
      <c r="O92" s="1836">
        <f>SUM(O93:O94)</f>
        <v>0</v>
      </c>
      <c r="P92" s="1836">
        <f>SUM(P93:P94)</f>
        <v>0</v>
      </c>
      <c r="Q92" s="1759"/>
      <c r="AM92" s="2097">
        <v>92</v>
      </c>
    </row>
    <row r="93" spans="1:39" s="1727" customFormat="1" ht="15.95" customHeight="1">
      <c r="A93" s="1729"/>
      <c r="B93" s="1766" t="s">
        <v>214</v>
      </c>
      <c r="C93" s="1727" t="s">
        <v>1827</v>
      </c>
      <c r="D93" s="1749"/>
      <c r="E93" s="1749"/>
      <c r="L93" s="1761"/>
      <c r="M93" s="1837"/>
      <c r="N93" s="2559"/>
      <c r="O93" s="1657"/>
      <c r="P93" s="1838"/>
      <c r="Q93" s="1759"/>
      <c r="AM93" s="2096">
        <v>93</v>
      </c>
    </row>
    <row r="94" spans="1:39" s="1727" customFormat="1" ht="15.95" customHeight="1">
      <c r="A94" s="1729"/>
      <c r="B94" s="1769" t="s">
        <v>222</v>
      </c>
      <c r="C94" s="1727" t="s">
        <v>1828</v>
      </c>
      <c r="D94" s="1749"/>
      <c r="E94" s="1749"/>
      <c r="L94" s="1761"/>
      <c r="M94" s="1837"/>
      <c r="N94" s="2559"/>
      <c r="O94" s="1722"/>
      <c r="P94" s="1839"/>
      <c r="Q94" s="1759"/>
      <c r="AM94" s="2097">
        <v>94</v>
      </c>
    </row>
    <row r="95" spans="1:39" s="1727" customFormat="1" ht="15.95" customHeight="1">
      <c r="A95" s="1729" t="s">
        <v>211</v>
      </c>
      <c r="B95" s="1736" t="s">
        <v>1829</v>
      </c>
      <c r="D95" s="1749"/>
      <c r="E95" s="1749"/>
      <c r="L95" s="1761"/>
      <c r="M95" s="1729"/>
      <c r="N95" s="2559"/>
      <c r="O95" s="1658">
        <v>5</v>
      </c>
      <c r="P95" s="1840"/>
      <c r="Q95" s="1759"/>
      <c r="AM95" s="2096">
        <v>95</v>
      </c>
    </row>
    <row r="96" spans="1:39" s="1727" customFormat="1" ht="15.95" customHeight="1">
      <c r="A96" s="1747"/>
      <c r="B96" s="1747" t="s">
        <v>1437</v>
      </c>
      <c r="D96" s="1747"/>
      <c r="E96" s="2556"/>
      <c r="F96" s="2556"/>
      <c r="G96" s="2556"/>
      <c r="H96" s="2556"/>
      <c r="I96" s="2556"/>
      <c r="J96" s="2556"/>
      <c r="K96" s="2556"/>
      <c r="L96" s="2556"/>
      <c r="M96" s="2556"/>
      <c r="N96" s="2562"/>
      <c r="O96" s="2554"/>
      <c r="P96" s="1729"/>
      <c r="AM96" s="2096">
        <v>96</v>
      </c>
    </row>
    <row r="97" spans="1:39" ht="15.95" customHeight="1">
      <c r="A97" s="3302"/>
      <c r="B97" s="3303"/>
      <c r="C97" s="3303"/>
      <c r="D97" s="3303"/>
      <c r="E97" s="3303"/>
      <c r="F97" s="3303"/>
      <c r="G97" s="3303"/>
      <c r="H97" s="3303"/>
      <c r="I97" s="3303"/>
      <c r="J97" s="3303"/>
      <c r="K97" s="3303"/>
      <c r="L97" s="3303"/>
      <c r="M97" s="3303"/>
      <c r="N97" s="3303"/>
      <c r="O97" s="3303"/>
      <c r="P97" s="3304"/>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81</v>
      </c>
      <c r="B100" s="1749" t="s">
        <v>1830</v>
      </c>
      <c r="C100" s="2557"/>
      <c r="D100" s="2557"/>
      <c r="E100" s="2557"/>
      <c r="F100" s="2557"/>
      <c r="G100" s="1841" t="s">
        <v>1831</v>
      </c>
      <c r="H100" s="2557"/>
      <c r="K100" s="2557"/>
      <c r="L100" s="1757" t="s">
        <v>1754</v>
      </c>
      <c r="M100" s="1729">
        <v>5</v>
      </c>
      <c r="N100" s="1786"/>
      <c r="O100" s="1758">
        <f>IF(OR((O101+O107+O108)&gt;$M100,(O101+O107)&gt;$M101,O108&gt;$M$108),"Check",IF((O101+O107+O108)&lt;=$M$100,(O101+O107+O108),""))</f>
        <v>4</v>
      </c>
      <c r="P100" s="1758">
        <f>IF(OR((P101+P107+P108)&gt;$M100,(P101+P107)&gt;$M101,P108&gt;$M$108),"Check",IF((P101+P107+P108)&lt;=$M$100,(P101+P107+P108),""))</f>
        <v>2</v>
      </c>
      <c r="Q100" s="1759" t="s">
        <v>787</v>
      </c>
      <c r="R100" s="1765"/>
      <c r="AM100" s="2097">
        <v>100</v>
      </c>
    </row>
    <row r="101" spans="1:39" ht="15.95" customHeight="1">
      <c r="A101" s="1729" t="s">
        <v>199</v>
      </c>
      <c r="B101" s="1736" t="s">
        <v>1832</v>
      </c>
      <c r="C101" s="1727"/>
      <c r="D101" s="1727"/>
      <c r="E101" s="1736"/>
      <c r="F101" s="1727"/>
      <c r="G101" s="1822"/>
      <c r="H101" s="1727"/>
      <c r="I101" s="1727"/>
      <c r="J101" s="1727"/>
      <c r="K101" s="2559"/>
      <c r="L101" s="1762"/>
      <c r="M101" s="2559">
        <v>3</v>
      </c>
      <c r="N101" s="1842"/>
      <c r="O101" s="1843">
        <f>IF(AND(O103&gt;0,O104&gt;0),"1or2?",MIN($M101,SUM(O103,O104)))</f>
        <v>2</v>
      </c>
      <c r="P101" s="1843">
        <f>IF(AND(P103&gt;0,P104&gt;0),"1or2?",MIN($M101,SUM(P103,P104)))</f>
        <v>0</v>
      </c>
      <c r="Q101" s="1764"/>
      <c r="R101" s="1765"/>
      <c r="AM101" s="2097">
        <v>101</v>
      </c>
    </row>
    <row r="102" spans="1:39" ht="31.5" customHeight="1">
      <c r="A102" s="1729"/>
      <c r="B102" s="3453" t="s">
        <v>1833</v>
      </c>
      <c r="C102" s="3453"/>
      <c r="D102" s="3453"/>
      <c r="E102" s="3453"/>
      <c r="F102" s="3453"/>
      <c r="G102" s="3453"/>
      <c r="H102" s="3453"/>
      <c r="I102" s="3453"/>
      <c r="J102" s="3453"/>
      <c r="K102" s="3453"/>
      <c r="L102" s="3453"/>
      <c r="M102" s="2559"/>
      <c r="N102" s="2559"/>
      <c r="O102" s="2559"/>
      <c r="P102" s="2559"/>
      <c r="Q102" s="1764"/>
      <c r="R102" s="1765"/>
      <c r="AM102" s="2097">
        <v>102</v>
      </c>
    </row>
    <row r="103" spans="1:39" s="1777" customFormat="1" ht="15.95" customHeight="1">
      <c r="A103" s="1729"/>
      <c r="B103" s="1766" t="s">
        <v>214</v>
      </c>
      <c r="C103" s="1727" t="s">
        <v>1834</v>
      </c>
      <c r="D103" s="1743"/>
      <c r="E103" s="1743"/>
      <c r="F103" s="1743"/>
      <c r="G103" s="1727"/>
      <c r="H103" s="1743"/>
      <c r="I103" s="1743"/>
      <c r="J103" s="3455" t="s">
        <v>1541</v>
      </c>
      <c r="K103" s="3456"/>
      <c r="L103" s="1743"/>
      <c r="M103" s="1826">
        <v>2</v>
      </c>
      <c r="N103" s="1844"/>
      <c r="O103" s="1642">
        <v>2</v>
      </c>
      <c r="P103" s="1889"/>
      <c r="Q103" s="1764" t="str">
        <f>IF(OR($O103=$M103,$O103=0,$O103=""),"","*CHECK!*")</f>
        <v/>
      </c>
      <c r="R103" s="1765"/>
      <c r="AM103" s="2096">
        <v>103</v>
      </c>
    </row>
    <row r="104" spans="1:39" s="1777" customFormat="1" ht="15.95" customHeight="1">
      <c r="A104" s="1729"/>
      <c r="B104" s="1769" t="s">
        <v>222</v>
      </c>
      <c r="C104" s="1727" t="s">
        <v>1835</v>
      </c>
      <c r="D104" s="1743"/>
      <c r="E104" s="1743"/>
      <c r="F104" s="1743"/>
      <c r="G104" s="1727"/>
      <c r="H104" s="1743"/>
      <c r="J104" s="2101" t="s">
        <v>1543</v>
      </c>
      <c r="K104" s="2102" t="s">
        <v>1836</v>
      </c>
      <c r="L104" s="2099"/>
      <c r="M104" s="1826">
        <v>3</v>
      </c>
      <c r="N104" s="1844"/>
      <c r="O104" s="1646"/>
      <c r="P104" s="1849"/>
      <c r="Q104" s="1764" t="str">
        <f>IF(OR($O104=$M104,$O104=0,$O104=""),"","*CHECK!*")</f>
        <v/>
      </c>
      <c r="R104" s="1765"/>
      <c r="AM104" s="2097">
        <v>104</v>
      </c>
    </row>
    <row r="105" spans="1:39">
      <c r="B105" s="1726" t="s">
        <v>1837</v>
      </c>
      <c r="H105" s="1757"/>
      <c r="J105" s="2100">
        <f>'Part V-Revenues &amp; Expenses'!P67*'Part VIII Scoring Criteria'!K105</f>
        <v>6</v>
      </c>
      <c r="K105" s="2061">
        <v>0.1</v>
      </c>
      <c r="M105" s="1757" t="s">
        <v>1838</v>
      </c>
      <c r="N105" s="2553"/>
      <c r="O105" s="1634">
        <v>6</v>
      </c>
      <c r="P105" s="1852"/>
      <c r="T105" s="1755"/>
      <c r="U105" s="1755"/>
      <c r="AM105" s="2096">
        <v>105</v>
      </c>
    </row>
    <row r="106" spans="1:39" ht="41.45" customHeight="1">
      <c r="B106" s="3454" t="s">
        <v>1839</v>
      </c>
      <c r="C106" s="3454"/>
      <c r="D106" s="3454"/>
      <c r="E106" s="3454"/>
      <c r="F106" s="3454"/>
      <c r="G106" s="3454"/>
      <c r="H106" s="3454"/>
      <c r="I106" s="3454"/>
      <c r="J106" s="3454"/>
      <c r="K106" s="3454"/>
      <c r="L106" s="3454"/>
      <c r="N106" s="2553"/>
      <c r="O106" s="1649" t="s">
        <v>67</v>
      </c>
      <c r="P106" s="1775"/>
      <c r="T106" s="1755"/>
      <c r="U106" s="1755"/>
      <c r="AM106" s="2096">
        <v>106</v>
      </c>
    </row>
    <row r="107" spans="1:39" ht="15.95" customHeight="1">
      <c r="A107" s="1729" t="s">
        <v>211</v>
      </c>
      <c r="B107" s="1736" t="s">
        <v>1840</v>
      </c>
      <c r="C107" s="1727"/>
      <c r="D107" s="1727"/>
      <c r="E107" s="1727"/>
      <c r="F107" s="1727"/>
      <c r="G107" s="1727"/>
      <c r="H107" s="1727"/>
      <c r="I107" s="1727"/>
      <c r="J107" s="1727"/>
      <c r="K107" s="1727"/>
      <c r="L107" s="1727"/>
      <c r="M107" s="2559">
        <v>1</v>
      </c>
      <c r="N107" s="1842"/>
      <c r="O107" s="1644"/>
      <c r="P107" s="1840"/>
      <c r="Q107" s="1764" t="str">
        <f>IF(OR($O107=$M107,$O107=0,$O107=""),"","*CHECK!*")</f>
        <v/>
      </c>
      <c r="R107" s="1765"/>
      <c r="AM107" s="2096">
        <v>107</v>
      </c>
    </row>
    <row r="108" spans="1:39" s="1727" customFormat="1" ht="15.95" customHeight="1">
      <c r="A108" s="1729" t="s">
        <v>232</v>
      </c>
      <c r="B108" s="1736" t="s">
        <v>1841</v>
      </c>
      <c r="G108" s="1845" t="s">
        <v>1842</v>
      </c>
      <c r="M108" s="2559">
        <v>2</v>
      </c>
      <c r="N108" s="1842"/>
      <c r="O108" s="1772">
        <f>O109-O110</f>
        <v>2</v>
      </c>
      <c r="P108" s="1772">
        <f>P109-P110</f>
        <v>2</v>
      </c>
      <c r="Q108" s="1764" t="str">
        <f>IF(OR($O108=$M108,$O108=0,$O108=""),"","*CHECK!*")</f>
        <v/>
      </c>
      <c r="AM108" s="2096">
        <v>108</v>
      </c>
    </row>
    <row r="109" spans="1:39" s="1727" customFormat="1" ht="15.95" customHeight="1">
      <c r="A109" s="1834"/>
      <c r="C109" s="1736" t="s">
        <v>1825</v>
      </c>
      <c r="D109" s="1749"/>
      <c r="E109" s="1749"/>
      <c r="L109" s="1761"/>
      <c r="M109" s="1729"/>
      <c r="N109" s="2559"/>
      <c r="O109" s="1846">
        <v>2</v>
      </c>
      <c r="P109" s="1846">
        <v>2</v>
      </c>
      <c r="Q109" s="1759"/>
      <c r="AM109" s="2096">
        <v>109</v>
      </c>
    </row>
    <row r="110" spans="1:39" s="1727" customFormat="1" ht="15.95" customHeight="1">
      <c r="A110" s="1834"/>
      <c r="C110" s="1736" t="s">
        <v>1843</v>
      </c>
      <c r="D110" s="1749"/>
      <c r="E110" s="1749"/>
      <c r="L110" s="1761"/>
      <c r="M110" s="1729"/>
      <c r="N110" s="2559"/>
      <c r="O110" s="1658"/>
      <c r="P110" s="1840"/>
      <c r="Q110" s="1759"/>
      <c r="R110" s="1765"/>
      <c r="AM110" s="2096">
        <v>110</v>
      </c>
    </row>
    <row r="111" spans="1:39" ht="15.95" customHeight="1">
      <c r="A111" s="1727"/>
      <c r="B111" s="1747" t="s">
        <v>1783</v>
      </c>
      <c r="C111" s="1727"/>
      <c r="D111" s="1727"/>
      <c r="E111" s="1727"/>
      <c r="F111" s="1727"/>
      <c r="G111" s="1727"/>
      <c r="H111" s="1727"/>
      <c r="I111" s="1727"/>
      <c r="J111" s="1727"/>
      <c r="K111" s="1727"/>
      <c r="M111" s="2559"/>
      <c r="N111" s="2553"/>
      <c r="O111" s="1738"/>
      <c r="AM111" s="2096">
        <v>111</v>
      </c>
    </row>
    <row r="112" spans="1:39" ht="15.95" customHeight="1">
      <c r="A112" s="3322" t="s">
        <v>1844</v>
      </c>
      <c r="B112" s="3323"/>
      <c r="C112" s="3323"/>
      <c r="D112" s="3323"/>
      <c r="E112" s="3323"/>
      <c r="F112" s="3323"/>
      <c r="G112" s="3323"/>
      <c r="H112" s="3323"/>
      <c r="I112" s="3323"/>
      <c r="J112" s="3323"/>
      <c r="K112" s="3323"/>
      <c r="L112" s="3323"/>
      <c r="M112" s="3323"/>
      <c r="N112" s="3323"/>
      <c r="O112" s="3323"/>
      <c r="P112" s="3324"/>
      <c r="Q112" s="1804"/>
      <c r="R112" s="1804"/>
      <c r="AM112" s="2097">
        <v>112</v>
      </c>
    </row>
    <row r="113" spans="1:39" ht="15.95" customHeight="1">
      <c r="B113" s="1783" t="s">
        <v>1437</v>
      </c>
      <c r="C113" s="1784"/>
      <c r="D113" s="1783"/>
      <c r="E113" s="1785"/>
      <c r="F113" s="2557"/>
      <c r="G113" s="2557"/>
      <c r="H113" s="2557"/>
      <c r="I113" s="2557"/>
      <c r="J113" s="2557"/>
      <c r="K113" s="2557"/>
      <c r="L113" s="2557"/>
      <c r="M113" s="2557"/>
      <c r="N113" s="1786"/>
      <c r="O113" s="1787"/>
      <c r="P113" s="1729"/>
      <c r="AM113" s="2097">
        <v>113</v>
      </c>
    </row>
    <row r="114" spans="1:39" ht="15.95" customHeight="1">
      <c r="A114" s="3302"/>
      <c r="B114" s="3303"/>
      <c r="C114" s="3303"/>
      <c r="D114" s="3303"/>
      <c r="E114" s="3303"/>
      <c r="F114" s="3303"/>
      <c r="G114" s="3303"/>
      <c r="H114" s="3303"/>
      <c r="I114" s="3303"/>
      <c r="J114" s="3303"/>
      <c r="K114" s="3303"/>
      <c r="L114" s="3303"/>
      <c r="M114" s="3303"/>
      <c r="N114" s="3303"/>
      <c r="O114" s="3303"/>
      <c r="P114" s="3304"/>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1475</v>
      </c>
      <c r="B117" s="1749" t="s">
        <v>1845</v>
      </c>
      <c r="D117" s="1749"/>
      <c r="E117" s="1749"/>
      <c r="L117" s="1757" t="s">
        <v>1754</v>
      </c>
      <c r="M117" s="1729">
        <v>13</v>
      </c>
      <c r="N117" s="2559"/>
      <c r="O117" s="1758">
        <f>MIN($M$117,O121+SUM(O124:O132))</f>
        <v>12</v>
      </c>
      <c r="P117" s="1758">
        <f>MIN($M$117,P121+SUM(P124:P132))</f>
        <v>0</v>
      </c>
      <c r="Q117" s="1759" t="s">
        <v>787</v>
      </c>
      <c r="R117" s="1765"/>
      <c r="AM117" s="2097">
        <v>117</v>
      </c>
    </row>
    <row r="118" spans="1:39" s="1727" customFormat="1" ht="15.95" customHeight="1">
      <c r="A118" s="1729" t="s">
        <v>199</v>
      </c>
      <c r="B118" s="1736" t="s">
        <v>1846</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1847</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1848</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1849</v>
      </c>
      <c r="F121" s="1729"/>
      <c r="I121" s="1729"/>
      <c r="J121" s="2559" t="s">
        <v>1850</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1851</v>
      </c>
      <c r="F122" s="1729"/>
      <c r="I122" s="1729"/>
      <c r="J122" s="1715" t="s">
        <v>1852</v>
      </c>
      <c r="M122" s="1826"/>
      <c r="N122" s="1762"/>
      <c r="O122" s="2005" t="str">
        <f>IF($J122="Submitted", "Yes","")</f>
        <v>Yes</v>
      </c>
      <c r="P122" s="1768"/>
      <c r="Q122" s="1762"/>
      <c r="V122" s="1755"/>
      <c r="AM122" s="2096">
        <v>122</v>
      </c>
    </row>
    <row r="123" spans="1:39" s="1727" customFormat="1" ht="15.95" customHeight="1">
      <c r="A123" s="1729"/>
      <c r="B123" s="1767"/>
      <c r="C123" s="1736"/>
      <c r="D123" s="1756" t="s">
        <v>1853</v>
      </c>
      <c r="F123" s="1729"/>
      <c r="I123" s="1729"/>
      <c r="J123" s="1649" t="s">
        <v>1852</v>
      </c>
      <c r="K123" s="1762"/>
      <c r="M123" s="1826"/>
      <c r="N123" s="1762"/>
      <c r="O123" s="2006" t="str">
        <f>IF($J123="Submitted", "Yes","")</f>
        <v>Yes</v>
      </c>
      <c r="P123" s="1775"/>
      <c r="Q123" s="1762"/>
      <c r="V123" s="1755"/>
      <c r="AM123" s="2096">
        <v>123</v>
      </c>
    </row>
    <row r="124" spans="1:39" s="1727" customFormat="1" ht="15.95" customHeight="1">
      <c r="A124" s="1729"/>
      <c r="B124" s="1767"/>
      <c r="C124" s="1756" t="s">
        <v>1854</v>
      </c>
      <c r="D124" s="1736"/>
      <c r="F124" s="1729"/>
      <c r="I124" s="1729"/>
      <c r="J124" s="1650" t="s">
        <v>1852</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1855</v>
      </c>
      <c r="D125" s="1736"/>
      <c r="F125" s="1729"/>
      <c r="I125" s="1729"/>
      <c r="J125" s="1650" t="s">
        <v>1852</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1856</v>
      </c>
      <c r="D126" s="1736"/>
      <c r="F126" s="1729"/>
      <c r="I126" s="1729"/>
      <c r="J126" s="1650" t="s">
        <v>1852</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1857</v>
      </c>
      <c r="D127" s="1736"/>
      <c r="F127" s="1729"/>
      <c r="V127" s="1755"/>
      <c r="AM127" s="2096">
        <v>127</v>
      </c>
    </row>
    <row r="128" spans="1:39" s="1727" customFormat="1" ht="15.95" customHeight="1">
      <c r="A128" s="1729"/>
      <c r="B128" s="1769"/>
      <c r="C128" s="1756" t="s">
        <v>1858</v>
      </c>
      <c r="F128" s="2559"/>
      <c r="I128" s="2559"/>
      <c r="J128" s="1650" t="s">
        <v>1852</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1859</v>
      </c>
      <c r="D129" s="1777"/>
      <c r="E129" s="1777"/>
      <c r="F129" s="1777"/>
      <c r="G129" s="1777"/>
      <c r="H129" s="1777"/>
      <c r="I129" s="1777"/>
      <c r="J129" s="1650" t="s">
        <v>1852</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1860</v>
      </c>
      <c r="F130" s="1729"/>
      <c r="I130" s="1729"/>
      <c r="J130" s="1650" t="s">
        <v>1852</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1861</v>
      </c>
      <c r="F131" s="1729"/>
      <c r="I131" s="1729"/>
      <c r="J131" s="1650" t="s">
        <v>1852</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1862</v>
      </c>
      <c r="F132" s="1729"/>
      <c r="I132" s="1729"/>
      <c r="J132" s="1650" t="s">
        <v>1767</v>
      </c>
      <c r="K132" s="1756"/>
      <c r="L132" s="1761" t="str">
        <f t="shared" si="1"/>
        <v/>
      </c>
      <c r="M132" s="1826">
        <v>1</v>
      </c>
      <c r="N132" s="1762"/>
      <c r="O132" s="1635">
        <v>0</v>
      </c>
      <c r="P132" s="1850"/>
      <c r="Q132" s="1765"/>
      <c r="V132" s="1755"/>
      <c r="AM132" s="2097">
        <v>132</v>
      </c>
    </row>
    <row r="133" spans="1:39" s="1727" customFormat="1" ht="15.95" customHeight="1">
      <c r="A133" s="1729" t="s">
        <v>211</v>
      </c>
      <c r="B133" s="1736" t="s">
        <v>1863</v>
      </c>
      <c r="H133" s="1762"/>
      <c r="I133" s="1724"/>
      <c r="J133" s="1724"/>
      <c r="K133" s="1724"/>
      <c r="L133" s="1724"/>
      <c r="M133" s="2559"/>
      <c r="N133" s="2559"/>
      <c r="O133" s="2559"/>
      <c r="P133" s="2559"/>
      <c r="Q133" s="2559"/>
      <c r="R133" s="1765"/>
      <c r="AM133" s="2097">
        <v>133</v>
      </c>
    </row>
    <row r="134" spans="1:39" ht="282.75" customHeight="1">
      <c r="B134" s="3450" t="s">
        <v>1864</v>
      </c>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1783</v>
      </c>
      <c r="C135" s="1727"/>
      <c r="D135" s="1727"/>
      <c r="E135" s="1727"/>
      <c r="F135" s="1727"/>
      <c r="G135" s="1727"/>
      <c r="H135" s="1727"/>
      <c r="I135" s="1727"/>
      <c r="J135" s="1727"/>
      <c r="K135" s="1727"/>
      <c r="M135" s="2559"/>
      <c r="N135" s="2553"/>
      <c r="O135" s="1738"/>
      <c r="AM135" s="2097">
        <v>135</v>
      </c>
    </row>
    <row r="136" spans="1:39" ht="15.95" customHeight="1">
      <c r="A136" s="3322" t="s">
        <v>1865</v>
      </c>
      <c r="B136" s="3323"/>
      <c r="C136" s="3323"/>
      <c r="D136" s="3323"/>
      <c r="E136" s="3323"/>
      <c r="F136" s="3323"/>
      <c r="G136" s="3323"/>
      <c r="H136" s="3323"/>
      <c r="I136" s="3323"/>
      <c r="J136" s="3323"/>
      <c r="K136" s="3323"/>
      <c r="L136" s="3323"/>
      <c r="M136" s="3323"/>
      <c r="N136" s="3323"/>
      <c r="O136" s="3323"/>
      <c r="P136" s="3324"/>
      <c r="Q136" s="1804"/>
      <c r="R136" s="1804"/>
      <c r="AM136" s="2096">
        <v>136</v>
      </c>
    </row>
    <row r="137" spans="1:39" s="1727" customFormat="1" ht="15.95" customHeight="1">
      <c r="A137" s="1747"/>
      <c r="B137" s="1747" t="s">
        <v>1437</v>
      </c>
      <c r="D137" s="1747"/>
      <c r="E137" s="2556"/>
      <c r="F137" s="2556"/>
      <c r="G137" s="2556"/>
      <c r="H137" s="2556"/>
      <c r="I137" s="2556"/>
      <c r="J137" s="2556"/>
      <c r="K137" s="2556"/>
      <c r="L137" s="2556"/>
      <c r="M137" s="2556"/>
      <c r="N137" s="2562"/>
      <c r="O137" s="2554"/>
      <c r="P137" s="1729"/>
      <c r="AM137" s="2097">
        <v>137</v>
      </c>
    </row>
    <row r="138" spans="1:39" ht="15.95" customHeight="1">
      <c r="A138" s="3302"/>
      <c r="B138" s="3303"/>
      <c r="C138" s="3303"/>
      <c r="D138" s="3303"/>
      <c r="E138" s="3303"/>
      <c r="F138" s="3303"/>
      <c r="G138" s="3303"/>
      <c r="H138" s="3303"/>
      <c r="I138" s="3303"/>
      <c r="J138" s="3303"/>
      <c r="K138" s="3303"/>
      <c r="L138" s="3303"/>
      <c r="M138" s="3303"/>
      <c r="N138" s="3303"/>
      <c r="O138" s="3303"/>
      <c r="P138" s="3304"/>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1478</v>
      </c>
      <c r="B141" s="1749" t="s">
        <v>1866</v>
      </c>
      <c r="G141" s="1736"/>
      <c r="I141" s="1736"/>
      <c r="J141" s="1792"/>
      <c r="K141" s="1855" t="s">
        <v>1867</v>
      </c>
      <c r="L141" s="1757" t="s">
        <v>1754</v>
      </c>
      <c r="M141" s="1729">
        <v>3</v>
      </c>
      <c r="N141" s="2559"/>
      <c r="O141" s="1758">
        <f>MIN($M$141,O143+O147)</f>
        <v>2</v>
      </c>
      <c r="P141" s="1758">
        <f>MIN($M$141,P143+P147)</f>
        <v>0</v>
      </c>
      <c r="Q141" s="1759" t="s">
        <v>787</v>
      </c>
      <c r="R141" s="1729" t="str">
        <f>$O$12</f>
        <v>9%</v>
      </c>
      <c r="S141" s="1805"/>
      <c r="AM141" s="2096">
        <v>141</v>
      </c>
    </row>
    <row r="142" spans="1:39" ht="15.95" hidden="1" customHeight="1">
      <c r="A142" s="1856"/>
      <c r="B142" s="1857"/>
      <c r="E142" s="1727"/>
      <c r="F142" s="1726" t="s">
        <v>1868</v>
      </c>
      <c r="G142" s="1805"/>
      <c r="H142" s="1727"/>
      <c r="I142" s="1749"/>
      <c r="K142" s="1757"/>
      <c r="L142" s="1858"/>
      <c r="M142" s="1729"/>
      <c r="N142" s="2559"/>
      <c r="O142" s="1738"/>
      <c r="P142" s="1738"/>
      <c r="Q142" s="1759"/>
      <c r="R142" s="1761"/>
      <c r="AM142" s="2097">
        <v>142</v>
      </c>
    </row>
    <row r="143" spans="1:39" s="1727" customFormat="1" ht="15.95" customHeight="1">
      <c r="A143" s="1729" t="s">
        <v>199</v>
      </c>
      <c r="B143" s="1851" t="s">
        <v>1869</v>
      </c>
      <c r="C143" s="1743"/>
      <c r="D143" s="1743"/>
      <c r="E143" s="1743"/>
      <c r="F143" s="1743"/>
      <c r="G143" s="1859"/>
      <c r="H143" s="1726" t="s">
        <v>647</v>
      </c>
      <c r="J143" s="1860" t="str">
        <f>'Part V-Revenues &amp; Expenses'!$O$53</f>
        <v>40% of Units at 60% of AMI</v>
      </c>
      <c r="L143" s="1743"/>
      <c r="M143" s="1729">
        <v>2</v>
      </c>
      <c r="N143" s="1803"/>
      <c r="O143" s="1861">
        <f>IF($O$12="9%",MIN($M143,O144+O145),0)</f>
        <v>2</v>
      </c>
      <c r="P143" s="1861">
        <f>IF($O$12="9%",MIN($M143,P144+P145),0)</f>
        <v>0</v>
      </c>
      <c r="AM143" s="2097">
        <v>143</v>
      </c>
    </row>
    <row r="144" spans="1:39" s="1727" customFormat="1" ht="15.95" customHeight="1">
      <c r="A144" s="1729"/>
      <c r="B144" s="1766" t="s">
        <v>214</v>
      </c>
      <c r="C144" s="1633" t="s">
        <v>1870</v>
      </c>
      <c r="H144" s="1727" t="s">
        <v>1871</v>
      </c>
      <c r="I144" s="1862"/>
      <c r="K144" s="1863">
        <f>'Part V-Revenues &amp; Expenses'!$B$50</f>
        <v>57.777777777777779</v>
      </c>
      <c r="L144" s="1761" t="str">
        <f t="shared" ref="L144:L145" si="2">IF(OR($O144=$M144,$O144=0,$O144=""),"","* * Check Score! * *")</f>
        <v/>
      </c>
      <c r="M144" s="2559">
        <v>2</v>
      </c>
      <c r="N144" s="1767"/>
      <c r="O144" s="1634"/>
      <c r="P144" s="1849"/>
      <c r="Q144" s="1848" t="str">
        <f>IF(OR($O144=$M144,$O144=0,$O144=""),"","*CHECK!*")</f>
        <v/>
      </c>
      <c r="R144" s="1765"/>
      <c r="AM144" s="2097">
        <v>144</v>
      </c>
    </row>
    <row r="145" spans="1:39" s="1727" customFormat="1" ht="15.95" customHeight="1">
      <c r="A145" s="1792"/>
      <c r="B145" s="1769" t="s">
        <v>222</v>
      </c>
      <c r="C145" s="1633" t="s">
        <v>1872</v>
      </c>
      <c r="I145" s="1862"/>
      <c r="K145" s="1750"/>
      <c r="L145" s="1761" t="str">
        <f t="shared" si="2"/>
        <v/>
      </c>
      <c r="M145" s="2559">
        <v>2</v>
      </c>
      <c r="N145" s="1767"/>
      <c r="O145" s="1635">
        <v>2</v>
      </c>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211</v>
      </c>
      <c r="B147" s="1851" t="s">
        <v>1873</v>
      </c>
      <c r="H147" s="2558" t="s">
        <v>1874</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1437</v>
      </c>
      <c r="D148" s="1783"/>
      <c r="E148" s="2557"/>
      <c r="F148" s="2557"/>
      <c r="G148" s="2557"/>
      <c r="H148" s="2557"/>
      <c r="I148" s="2557"/>
      <c r="J148" s="2557"/>
      <c r="K148" s="2557"/>
      <c r="L148" s="2557"/>
      <c r="M148" s="2557"/>
      <c r="N148" s="1786"/>
      <c r="O148" s="1787"/>
      <c r="P148" s="1729"/>
      <c r="AM148" s="2096">
        <v>148</v>
      </c>
    </row>
    <row r="149" spans="1:39" ht="15.95" customHeight="1">
      <c r="A149" s="3302"/>
      <c r="B149" s="3303"/>
      <c r="C149" s="3303"/>
      <c r="D149" s="3303"/>
      <c r="E149" s="3303"/>
      <c r="F149" s="3303"/>
      <c r="G149" s="3303"/>
      <c r="H149" s="3303"/>
      <c r="I149" s="3303"/>
      <c r="J149" s="3303"/>
      <c r="K149" s="3303"/>
      <c r="L149" s="3303"/>
      <c r="M149" s="3303"/>
      <c r="N149" s="3303"/>
      <c r="O149" s="3303"/>
      <c r="P149" s="3304"/>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1481</v>
      </c>
      <c r="B152" s="1749" t="s">
        <v>1875</v>
      </c>
      <c r="D152" s="1749"/>
      <c r="E152" s="1749"/>
      <c r="L152" s="1868"/>
      <c r="M152" s="1729">
        <v>2</v>
      </c>
      <c r="N152" s="2559"/>
      <c r="O152" s="1772">
        <f>IF(O153="Yes",$M$152,0)</f>
        <v>2</v>
      </c>
      <c r="P152" s="1772">
        <f>IF(P153="Yes",$M$152,0)</f>
        <v>0</v>
      </c>
      <c r="Q152" s="1759" t="s">
        <v>787</v>
      </c>
      <c r="R152" s="1729"/>
      <c r="AM152" s="2097">
        <v>152</v>
      </c>
    </row>
    <row r="153" spans="1:39" ht="15.95" customHeight="1">
      <c r="B153" s="1924" t="s">
        <v>1876</v>
      </c>
      <c r="C153" s="1727"/>
      <c r="D153" s="1727"/>
      <c r="E153" s="1727"/>
      <c r="F153" s="1727"/>
      <c r="G153" s="1727"/>
      <c r="H153" s="1727"/>
      <c r="I153" s="1727"/>
      <c r="J153" s="1727"/>
      <c r="K153" s="1727"/>
      <c r="M153" s="2559"/>
      <c r="N153" s="2553"/>
      <c r="O153" s="1648" t="s">
        <v>67</v>
      </c>
      <c r="P153" s="1907"/>
      <c r="AM153" s="2097">
        <v>153</v>
      </c>
    </row>
    <row r="154" spans="1:39" ht="15.95" customHeight="1">
      <c r="A154" s="1727"/>
      <c r="B154" s="1747" t="s">
        <v>1783</v>
      </c>
      <c r="C154" s="1727"/>
      <c r="D154" s="1727"/>
      <c r="E154" s="1727"/>
      <c r="F154" s="1727"/>
      <c r="G154" s="1727"/>
      <c r="H154" s="1727"/>
      <c r="I154" s="1727"/>
      <c r="J154" s="1727"/>
      <c r="K154" s="1727"/>
      <c r="M154" s="2559"/>
      <c r="N154" s="2553"/>
      <c r="O154" s="1738"/>
      <c r="AM154" s="2097">
        <v>154</v>
      </c>
    </row>
    <row r="155" spans="1:39" ht="15.95" customHeight="1">
      <c r="A155" s="3322" t="s">
        <v>1877</v>
      </c>
      <c r="B155" s="3323"/>
      <c r="C155" s="3323"/>
      <c r="D155" s="3323"/>
      <c r="E155" s="3323"/>
      <c r="F155" s="3323"/>
      <c r="G155" s="3323"/>
      <c r="H155" s="3323"/>
      <c r="I155" s="3323"/>
      <c r="J155" s="3323"/>
      <c r="K155" s="3323"/>
      <c r="L155" s="3323"/>
      <c r="M155" s="3323"/>
      <c r="N155" s="3323"/>
      <c r="O155" s="3323"/>
      <c r="P155" s="3324"/>
      <c r="Q155" s="1804"/>
      <c r="R155" s="1804"/>
      <c r="AM155" s="2097">
        <v>155</v>
      </c>
    </row>
    <row r="156" spans="1:39" s="1727" customFormat="1" ht="15.95" customHeight="1">
      <c r="A156" s="1747"/>
      <c r="B156" s="1747" t="s">
        <v>1437</v>
      </c>
      <c r="D156" s="1747"/>
      <c r="E156" s="2556"/>
      <c r="F156" s="2556"/>
      <c r="G156" s="2556"/>
      <c r="H156" s="2556"/>
      <c r="I156" s="2556"/>
      <c r="J156" s="2556"/>
      <c r="K156" s="2556"/>
      <c r="L156" s="2556"/>
      <c r="M156" s="2556"/>
      <c r="N156" s="2562"/>
      <c r="O156" s="2554"/>
      <c r="P156" s="1729"/>
      <c r="AM156" s="2096">
        <v>156</v>
      </c>
    </row>
    <row r="157" spans="1:39" ht="15.95" customHeight="1">
      <c r="A157" s="3302"/>
      <c r="B157" s="3303"/>
      <c r="C157" s="3303"/>
      <c r="D157" s="3303"/>
      <c r="E157" s="3303"/>
      <c r="F157" s="3303"/>
      <c r="G157" s="3303"/>
      <c r="H157" s="3303"/>
      <c r="I157" s="3303"/>
      <c r="J157" s="3303"/>
      <c r="K157" s="3303"/>
      <c r="L157" s="3303"/>
      <c r="M157" s="3303"/>
      <c r="N157" s="3303"/>
      <c r="O157" s="3303"/>
      <c r="P157" s="3304"/>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1489</v>
      </c>
      <c r="B160" s="1749" t="s">
        <v>1878</v>
      </c>
      <c r="L160" s="1757" t="s">
        <v>1754</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787</v>
      </c>
      <c r="R160" s="1729" t="str">
        <f>$O$12</f>
        <v>9%</v>
      </c>
      <c r="AM160" s="2096">
        <v>160</v>
      </c>
    </row>
    <row r="161" spans="1:39" s="1727" customFormat="1" ht="15.95" customHeight="1">
      <c r="A161" s="1729" t="s">
        <v>199</v>
      </c>
      <c r="B161" s="1736" t="s">
        <v>1879</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211</v>
      </c>
      <c r="B162" s="1736" t="s">
        <v>1880</v>
      </c>
      <c r="H162" s="1762"/>
      <c r="I162" s="1724"/>
      <c r="J162" s="1724"/>
      <c r="K162" s="1837"/>
      <c r="L162" s="1724"/>
      <c r="M162" s="2559" t="s">
        <v>1881</v>
      </c>
      <c r="N162" s="1762"/>
      <c r="O162" s="1671"/>
      <c r="P162" s="1871"/>
      <c r="R162" s="1765"/>
      <c r="AM162" s="2096">
        <v>162</v>
      </c>
    </row>
    <row r="163" spans="1:39" ht="15.95" customHeight="1">
      <c r="A163" s="1727"/>
      <c r="B163" s="1747" t="s">
        <v>1783</v>
      </c>
      <c r="C163" s="1727"/>
      <c r="D163" s="1727"/>
      <c r="E163" s="1727"/>
      <c r="F163" s="1727"/>
      <c r="G163" s="1727"/>
      <c r="H163" s="1727"/>
      <c r="I163" s="1727"/>
      <c r="J163" s="1727"/>
      <c r="K163" s="1727"/>
      <c r="M163" s="2559"/>
      <c r="N163" s="2553"/>
      <c r="O163" s="1738"/>
      <c r="AM163" s="2096">
        <v>163</v>
      </c>
    </row>
    <row r="164" spans="1:39" ht="15.95" customHeight="1">
      <c r="A164" s="3322" t="s">
        <v>1882</v>
      </c>
      <c r="B164" s="3323"/>
      <c r="C164" s="3323"/>
      <c r="D164" s="3323"/>
      <c r="E164" s="3323"/>
      <c r="F164" s="3323"/>
      <c r="G164" s="3323"/>
      <c r="H164" s="3323"/>
      <c r="I164" s="3323"/>
      <c r="J164" s="3323"/>
      <c r="K164" s="3323"/>
      <c r="L164" s="3323"/>
      <c r="M164" s="3323"/>
      <c r="N164" s="3323"/>
      <c r="O164" s="3323"/>
      <c r="P164" s="3324"/>
      <c r="Q164" s="1804"/>
      <c r="R164" s="1804"/>
      <c r="AM164" s="2097">
        <v>164</v>
      </c>
    </row>
    <row r="165" spans="1:39" ht="15.95" customHeight="1">
      <c r="A165" s="1727"/>
      <c r="B165" s="1747" t="s">
        <v>1437</v>
      </c>
      <c r="C165" s="1727"/>
      <c r="D165" s="1872"/>
      <c r="E165" s="2557"/>
      <c r="F165" s="2557"/>
      <c r="G165" s="2557"/>
      <c r="H165" s="2557"/>
      <c r="I165" s="2557"/>
      <c r="J165" s="2557"/>
      <c r="K165" s="2557"/>
      <c r="L165" s="2557"/>
      <c r="M165" s="2557"/>
      <c r="N165" s="1786"/>
      <c r="O165" s="1787"/>
      <c r="P165" s="1729"/>
      <c r="AM165" s="2097">
        <v>165</v>
      </c>
    </row>
    <row r="166" spans="1:39" ht="15.95" customHeight="1">
      <c r="A166" s="3302"/>
      <c r="B166" s="3303"/>
      <c r="C166" s="3303"/>
      <c r="D166" s="3303"/>
      <c r="E166" s="3303"/>
      <c r="F166" s="3303"/>
      <c r="G166" s="3303"/>
      <c r="H166" s="3303"/>
      <c r="I166" s="3303"/>
      <c r="J166" s="3303"/>
      <c r="K166" s="3303"/>
      <c r="L166" s="3303"/>
      <c r="M166" s="3303"/>
      <c r="N166" s="3303"/>
      <c r="O166" s="3303"/>
      <c r="P166" s="3304"/>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1496</v>
      </c>
      <c r="B169" s="1749" t="s">
        <v>1883</v>
      </c>
      <c r="H169" s="1873"/>
      <c r="I169" s="1851"/>
      <c r="J169" s="1792"/>
      <c r="K169" s="1729"/>
      <c r="L169" s="1757" t="s">
        <v>1754</v>
      </c>
      <c r="M169" s="1729">
        <v>6</v>
      </c>
      <c r="N169" s="1762"/>
      <c r="O169" s="1824">
        <f>IF($F$12="New Affordability",MAX(O177,O180),0)</f>
        <v>2</v>
      </c>
      <c r="P169" s="1824">
        <f>IF($H$12="New Affordability",MAX(P177,P180),0)</f>
        <v>0</v>
      </c>
      <c r="Q169" s="1759" t="s">
        <v>787</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1884</v>
      </c>
      <c r="F171" s="3442" t="s">
        <v>1885</v>
      </c>
      <c r="G171" s="3442"/>
      <c r="H171" s="3442"/>
      <c r="I171" s="3442"/>
      <c r="J171" s="3442" t="s">
        <v>1886</v>
      </c>
      <c r="K171" s="3442"/>
      <c r="L171" s="3442"/>
      <c r="M171" s="3442"/>
      <c r="N171" s="1762"/>
      <c r="O171" s="3443" t="s">
        <v>1887</v>
      </c>
      <c r="P171" s="3443"/>
      <c r="AM171" s="2097">
        <v>171</v>
      </c>
    </row>
    <row r="172" spans="1:39" ht="15.95" customHeight="1">
      <c r="B172" s="1874"/>
      <c r="C172" s="1875" t="s">
        <v>1888</v>
      </c>
      <c r="F172" s="3445" t="s">
        <v>1889</v>
      </c>
      <c r="G172" s="3446"/>
      <c r="H172" s="3447"/>
      <c r="I172" s="3448"/>
      <c r="J172" s="3357" t="s">
        <v>1890</v>
      </c>
      <c r="K172" s="3449"/>
      <c r="L172" s="3447"/>
      <c r="M172" s="3448"/>
      <c r="N172" s="1726"/>
      <c r="O172" s="3444"/>
      <c r="P172" s="3444"/>
      <c r="AM172" s="2096">
        <v>172</v>
      </c>
    </row>
    <row r="173" spans="1:39" ht="15.95" customHeight="1">
      <c r="A173" s="1874"/>
      <c r="B173" s="1876"/>
      <c r="C173" s="1875" t="s">
        <v>1891</v>
      </c>
      <c r="F173" s="3437"/>
      <c r="G173" s="3438"/>
      <c r="H173" s="3439"/>
      <c r="I173" s="3440"/>
      <c r="J173" s="3437"/>
      <c r="K173" s="3438"/>
      <c r="L173" s="3439"/>
      <c r="M173" s="3440"/>
      <c r="N173" s="1762"/>
      <c r="O173" s="1640"/>
      <c r="P173" s="1877"/>
      <c r="AM173" s="2097">
        <v>173</v>
      </c>
    </row>
    <row r="174" spans="1:39" ht="15.95" customHeight="1">
      <c r="A174" s="1876"/>
      <c r="B174" s="3441" t="s">
        <v>1892</v>
      </c>
      <c r="C174" s="3441"/>
      <c r="D174" s="3441"/>
      <c r="E174" s="3441"/>
      <c r="F174" s="2553" t="s">
        <v>1893</v>
      </c>
      <c r="G174" s="3355" t="s">
        <v>1894</v>
      </c>
      <c r="H174" s="3355"/>
      <c r="I174" s="3355"/>
      <c r="J174" s="3355" t="s">
        <v>1895</v>
      </c>
      <c r="K174" s="3355"/>
      <c r="L174" s="3355"/>
      <c r="M174" s="3355"/>
      <c r="N174" s="3355"/>
      <c r="O174" s="3355"/>
      <c r="P174" s="3355"/>
      <c r="AM174" s="2096">
        <v>174</v>
      </c>
    </row>
    <row r="175" spans="1:39" ht="15.95" customHeight="1">
      <c r="A175" s="1876"/>
      <c r="B175" s="3433" t="s">
        <v>1896</v>
      </c>
      <c r="C175" s="3433"/>
      <c r="D175" s="3433"/>
      <c r="E175" s="3433"/>
      <c r="F175" s="1672" t="s">
        <v>1897</v>
      </c>
      <c r="G175" s="3434" t="s">
        <v>1898</v>
      </c>
      <c r="H175" s="3434"/>
      <c r="I175" s="3434"/>
      <c r="J175" s="3434" t="s">
        <v>1899</v>
      </c>
      <c r="K175" s="3434"/>
      <c r="L175" s="3434"/>
      <c r="M175" s="3434"/>
      <c r="N175" s="3434"/>
      <c r="O175" s="3434"/>
      <c r="P175" s="3434"/>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199</v>
      </c>
      <c r="B177" s="1736" t="s">
        <v>1900</v>
      </c>
      <c r="F177" s="1878"/>
      <c r="L177" s="1823" t="s">
        <v>1818</v>
      </c>
      <c r="M177" s="1729">
        <v>6</v>
      </c>
      <c r="N177" s="1803"/>
      <c r="O177" s="1879">
        <f>IF(OR($J$12="Atlanta Metro",$J$12="Other Metro",$J$12="N/A-4%"),MIN($M177,O178+O179),0)</f>
        <v>0</v>
      </c>
      <c r="P177" s="1879">
        <f>IF(OR($L$12="Atlanta Metro",$L$12="Other Metro",$L$12="N/A-4%"),MIN($M177,P178+P179),0)</f>
        <v>0</v>
      </c>
      <c r="Q177" s="1759"/>
      <c r="S177" s="1880" t="s">
        <v>1901</v>
      </c>
      <c r="T177" s="1880" t="s">
        <v>1902</v>
      </c>
      <c r="AM177" s="2096">
        <v>177</v>
      </c>
    </row>
    <row r="178" spans="1:39" s="1777" customFormat="1" ht="29.45" customHeight="1">
      <c r="A178" s="1778"/>
      <c r="B178" s="1769" t="s">
        <v>214</v>
      </c>
      <c r="C178" s="3435" t="s">
        <v>1903</v>
      </c>
      <c r="D178" s="3435"/>
      <c r="E178" s="3435"/>
      <c r="F178" s="3435"/>
      <c r="G178" s="3435"/>
      <c r="H178" s="3435"/>
      <c r="I178" s="3435"/>
      <c r="J178" s="3435"/>
      <c r="K178" s="3435"/>
      <c r="L178" s="1761" t="str">
        <f t="shared" ref="L178" si="4">IF(OR($O178=$M178,$O178=0,$O178=""),"","* * Check Score! * *")</f>
        <v/>
      </c>
      <c r="M178" s="1778">
        <v>6</v>
      </c>
      <c r="N178" s="1829"/>
      <c r="O178" s="1641"/>
      <c r="P178" s="1881"/>
      <c r="R178" s="3436" t="s">
        <v>1904</v>
      </c>
      <c r="S178" s="1882">
        <v>0.25</v>
      </c>
      <c r="T178" s="1882">
        <v>5</v>
      </c>
      <c r="AM178" s="2096">
        <v>178</v>
      </c>
    </row>
    <row r="179" spans="1:39" s="1777" customFormat="1" ht="15.95" customHeight="1">
      <c r="A179" s="1792" t="s">
        <v>340</v>
      </c>
      <c r="B179" s="1769" t="s">
        <v>222</v>
      </c>
      <c r="C179" s="1727" t="s">
        <v>1905</v>
      </c>
      <c r="D179" s="1727"/>
      <c r="E179" s="1727"/>
      <c r="F179" s="1727"/>
      <c r="G179" s="1727"/>
      <c r="H179" s="1727"/>
      <c r="I179" s="1727"/>
      <c r="J179" s="1742"/>
      <c r="K179" s="1742"/>
      <c r="L179" s="1761"/>
      <c r="M179" s="2559">
        <v>5</v>
      </c>
      <c r="N179" s="1831"/>
      <c r="O179" s="1638"/>
      <c r="P179" s="1883"/>
      <c r="R179" s="3436"/>
      <c r="S179" s="1882">
        <v>0.5</v>
      </c>
      <c r="T179" s="1882">
        <v>4.5</v>
      </c>
      <c r="AM179" s="2096">
        <v>179</v>
      </c>
    </row>
    <row r="180" spans="1:39" s="1777" customFormat="1" ht="15.95" customHeight="1">
      <c r="A180" s="1869" t="s">
        <v>211</v>
      </c>
      <c r="B180" s="1884" t="s">
        <v>1906</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36"/>
      <c r="S180" s="1887">
        <v>1</v>
      </c>
      <c r="T180" s="1887">
        <v>4</v>
      </c>
      <c r="AM180" s="2097">
        <v>180</v>
      </c>
    </row>
    <row r="181" spans="1:39" ht="15.95" customHeight="1">
      <c r="A181" s="1748"/>
      <c r="B181" s="1888" t="s">
        <v>214</v>
      </c>
      <c r="C181" s="1727" t="s">
        <v>1907</v>
      </c>
      <c r="D181" s="1743"/>
      <c r="E181" s="1743"/>
      <c r="F181" s="1743"/>
      <c r="G181" s="1743"/>
      <c r="H181" s="1743"/>
      <c r="I181" s="1743"/>
      <c r="J181" s="1743"/>
      <c r="K181" s="1743"/>
      <c r="L181" s="1761" t="str">
        <f t="shared" ref="L181:L183" si="5">IF(OR($O181=$M181,$O181=0,$O181=""),"","* * Check Score! * *")</f>
        <v/>
      </c>
      <c r="M181" s="2559">
        <v>3</v>
      </c>
      <c r="N181" s="1831"/>
      <c r="O181" s="1642"/>
      <c r="P181" s="1889"/>
      <c r="R181" s="3436" t="s">
        <v>1908</v>
      </c>
      <c r="S181" s="1890">
        <v>0.25</v>
      </c>
      <c r="T181" s="1890">
        <v>3</v>
      </c>
      <c r="U181" s="1777"/>
      <c r="AM181" s="2097">
        <v>181</v>
      </c>
    </row>
    <row r="182" spans="1:39" ht="15.95" customHeight="1">
      <c r="A182" s="1792" t="s">
        <v>340</v>
      </c>
      <c r="B182" s="1888" t="s">
        <v>222</v>
      </c>
      <c r="C182" s="1727" t="s">
        <v>1909</v>
      </c>
      <c r="D182" s="1743"/>
      <c r="E182" s="1743"/>
      <c r="F182" s="1743"/>
      <c r="G182" s="1743"/>
      <c r="H182" s="1743"/>
      <c r="I182" s="1743"/>
      <c r="J182" s="1876"/>
      <c r="K182" s="1876"/>
      <c r="L182" s="1761" t="str">
        <f t="shared" si="5"/>
        <v/>
      </c>
      <c r="M182" s="2559">
        <v>1</v>
      </c>
      <c r="N182" s="1831"/>
      <c r="O182" s="1643"/>
      <c r="P182" s="1891"/>
      <c r="R182" s="3436"/>
      <c r="S182" s="1882">
        <v>0.5</v>
      </c>
      <c r="T182" s="1882">
        <v>2</v>
      </c>
      <c r="U182" s="1777"/>
      <c r="AM182" s="2097">
        <v>182</v>
      </c>
    </row>
    <row r="183" spans="1:39" s="1777" customFormat="1" ht="29.25" customHeight="1">
      <c r="A183" s="1892" t="s">
        <v>340</v>
      </c>
      <c r="B183" s="1888" t="s">
        <v>226</v>
      </c>
      <c r="C183" s="3435" t="s">
        <v>1910</v>
      </c>
      <c r="D183" s="3435"/>
      <c r="E183" s="3435"/>
      <c r="F183" s="3435"/>
      <c r="G183" s="3435"/>
      <c r="H183" s="3435"/>
      <c r="I183" s="3435"/>
      <c r="J183" s="3435"/>
      <c r="K183" s="3435"/>
      <c r="L183" s="1761" t="str">
        <f t="shared" si="5"/>
        <v/>
      </c>
      <c r="M183" s="1778">
        <v>2</v>
      </c>
      <c r="N183" s="1829"/>
      <c r="O183" s="1673">
        <v>2</v>
      </c>
      <c r="P183" s="1893"/>
      <c r="R183" s="3436"/>
      <c r="S183" s="1887">
        <v>1</v>
      </c>
      <c r="T183" s="1887">
        <v>1</v>
      </c>
      <c r="AM183" s="2096">
        <v>183</v>
      </c>
    </row>
    <row r="184" spans="1:39" ht="15.95" customHeight="1">
      <c r="A184" s="1727"/>
      <c r="B184" s="1747" t="s">
        <v>1783</v>
      </c>
      <c r="C184" s="1727"/>
      <c r="D184" s="1727"/>
      <c r="E184" s="1727"/>
      <c r="F184" s="1727"/>
      <c r="G184" s="1727"/>
      <c r="H184" s="1727"/>
      <c r="I184" s="1727"/>
      <c r="J184" s="1727"/>
      <c r="K184" s="1727"/>
      <c r="M184" s="2559"/>
      <c r="N184" s="2553"/>
      <c r="O184" s="1738"/>
      <c r="AM184" s="2096">
        <v>184</v>
      </c>
    </row>
    <row r="185" spans="1:39" ht="15.95" customHeight="1">
      <c r="A185" s="3322" t="s">
        <v>1911</v>
      </c>
      <c r="B185" s="3323"/>
      <c r="C185" s="3323"/>
      <c r="D185" s="3323"/>
      <c r="E185" s="3323"/>
      <c r="F185" s="3323"/>
      <c r="G185" s="3323"/>
      <c r="H185" s="3323"/>
      <c r="I185" s="3323"/>
      <c r="J185" s="3323"/>
      <c r="K185" s="3323"/>
      <c r="L185" s="3323"/>
      <c r="M185" s="3323"/>
      <c r="N185" s="3323"/>
      <c r="O185" s="3323"/>
      <c r="P185" s="3324"/>
      <c r="Q185" s="1804"/>
      <c r="R185" s="1804"/>
      <c r="AM185" s="2097">
        <v>185</v>
      </c>
    </row>
    <row r="186" spans="1:39" s="1727" customFormat="1" ht="15.95" customHeight="1">
      <c r="B186" s="1832" t="s">
        <v>1437</v>
      </c>
      <c r="D186" s="1832"/>
      <c r="E186" s="2556"/>
      <c r="F186" s="2556"/>
      <c r="G186" s="2556"/>
      <c r="H186" s="2556"/>
      <c r="I186" s="2556"/>
      <c r="J186" s="2556"/>
      <c r="K186" s="2556"/>
      <c r="L186" s="2556"/>
      <c r="M186" s="2556"/>
      <c r="N186" s="2562"/>
      <c r="O186" s="2554"/>
      <c r="P186" s="1729"/>
      <c r="Q186" s="1726"/>
      <c r="AM186" s="2096">
        <v>186</v>
      </c>
    </row>
    <row r="187" spans="1:39" ht="15.95" customHeight="1">
      <c r="A187" s="3302"/>
      <c r="B187" s="3303"/>
      <c r="C187" s="3303"/>
      <c r="D187" s="3303"/>
      <c r="E187" s="3303"/>
      <c r="F187" s="3303"/>
      <c r="G187" s="3303"/>
      <c r="H187" s="3303"/>
      <c r="I187" s="3303"/>
      <c r="J187" s="3303"/>
      <c r="K187" s="3303"/>
      <c r="L187" s="3303"/>
      <c r="M187" s="3303"/>
      <c r="N187" s="3303"/>
      <c r="O187" s="3303"/>
      <c r="P187" s="3304"/>
      <c r="Q187" s="1788"/>
      <c r="AM187" s="2096">
        <v>187</v>
      </c>
    </row>
    <row r="188" spans="1:39" ht="9.75" customHeight="1">
      <c r="N188" s="2553"/>
      <c r="AM188" s="2097">
        <v>188</v>
      </c>
    </row>
    <row r="189" spans="1:39" ht="9.75" customHeight="1" thickBot="1">
      <c r="N189" s="2553"/>
      <c r="AM189" s="2097">
        <v>189</v>
      </c>
    </row>
    <row r="190" spans="1:39" ht="15.95" customHeight="1" thickBot="1">
      <c r="A190" s="1748" t="s">
        <v>1518</v>
      </c>
      <c r="B190" s="1749" t="s">
        <v>1912</v>
      </c>
      <c r="C190" s="2557"/>
      <c r="D190" s="2557"/>
      <c r="E190" s="2557"/>
      <c r="G190" s="1729"/>
      <c r="H190" s="1765"/>
      <c r="L190" s="1757" t="s">
        <v>1754</v>
      </c>
      <c r="M190" s="1729">
        <v>3</v>
      </c>
      <c r="N190" s="1786"/>
      <c r="O190" s="1677">
        <v>3</v>
      </c>
      <c r="P190" s="1894"/>
      <c r="Q190" s="1848" t="str">
        <f>IF(OR($O190&lt;=$M190,$O190=0,$O190=""),"","*CHECK!*")</f>
        <v/>
      </c>
      <c r="R190" s="1895" t="s">
        <v>787</v>
      </c>
      <c r="S190" s="1729" t="str">
        <f>$O$12</f>
        <v>9%</v>
      </c>
      <c r="AM190" s="2097">
        <v>190</v>
      </c>
    </row>
    <row r="191" spans="1:39" ht="23.25" customHeight="1">
      <c r="B191" s="1896"/>
      <c r="C191" s="1896"/>
      <c r="D191" s="1896"/>
      <c r="E191" s="1897"/>
      <c r="F191" s="3422" t="s">
        <v>1913</v>
      </c>
      <c r="G191" s="3422"/>
      <c r="H191" s="3422" t="s">
        <v>1914</v>
      </c>
      <c r="I191" s="3422"/>
      <c r="J191" s="3424" t="s">
        <v>1915</v>
      </c>
      <c r="K191" s="3425"/>
      <c r="L191" s="3430" t="s">
        <v>1916</v>
      </c>
      <c r="M191" s="3430"/>
      <c r="N191" s="3430"/>
      <c r="O191" s="3431"/>
      <c r="P191" s="1898"/>
      <c r="AM191" s="2097">
        <v>191</v>
      </c>
    </row>
    <row r="192" spans="1:39" ht="24.75" customHeight="1">
      <c r="B192" s="1896"/>
      <c r="C192" s="1896"/>
      <c r="D192" s="1896"/>
      <c r="E192" s="1897"/>
      <c r="F192" s="3422"/>
      <c r="G192" s="3422"/>
      <c r="H192" s="3422"/>
      <c r="I192" s="3422"/>
      <c r="J192" s="3426"/>
      <c r="K192" s="3427"/>
      <c r="L192" s="3422"/>
      <c r="M192" s="3422"/>
      <c r="N192" s="3422"/>
      <c r="O192" s="3431"/>
      <c r="P192" s="1898"/>
      <c r="AM192" s="2096">
        <v>192</v>
      </c>
    </row>
    <row r="193" spans="1:39" ht="15.95" customHeight="1">
      <c r="B193" s="1899" t="s">
        <v>1917</v>
      </c>
      <c r="C193" s="1900"/>
      <c r="D193" s="1897"/>
      <c r="E193" s="1897"/>
      <c r="F193" s="3423"/>
      <c r="G193" s="3423"/>
      <c r="H193" s="3423"/>
      <c r="I193" s="3423"/>
      <c r="J193" s="3428"/>
      <c r="K193" s="3429"/>
      <c r="L193" s="3423"/>
      <c r="M193" s="3423"/>
      <c r="N193" s="3423"/>
      <c r="O193" s="3432"/>
      <c r="P193" s="1898"/>
      <c r="AM193" s="2097">
        <v>193</v>
      </c>
    </row>
    <row r="194" spans="1:39" ht="15.95" customHeight="1">
      <c r="B194" s="3414" t="s">
        <v>1918</v>
      </c>
      <c r="C194" s="3415"/>
      <c r="D194" s="3415"/>
      <c r="E194" s="3416"/>
      <c r="F194" s="3417" t="s">
        <v>57</v>
      </c>
      <c r="G194" s="3418"/>
      <c r="H194" s="3417" t="s">
        <v>67</v>
      </c>
      <c r="I194" s="3418"/>
      <c r="J194" s="3419" t="s">
        <v>57</v>
      </c>
      <c r="K194" s="3420"/>
      <c r="L194" s="3419" t="s">
        <v>57</v>
      </c>
      <c r="M194" s="3421"/>
      <c r="N194" s="3421"/>
      <c r="O194" s="3420"/>
      <c r="P194" s="1768"/>
      <c r="AM194" s="2096">
        <v>194</v>
      </c>
    </row>
    <row r="195" spans="1:39" ht="15.95" customHeight="1">
      <c r="B195" s="3398" t="s">
        <v>1919</v>
      </c>
      <c r="C195" s="3399"/>
      <c r="D195" s="3399"/>
      <c r="E195" s="3400"/>
      <c r="F195" s="3401" t="s">
        <v>67</v>
      </c>
      <c r="G195" s="3402"/>
      <c r="H195" s="3401" t="s">
        <v>67</v>
      </c>
      <c r="I195" s="3402"/>
      <c r="J195" s="3403" t="s">
        <v>67</v>
      </c>
      <c r="K195" s="3404"/>
      <c r="L195" s="3403" t="s">
        <v>67</v>
      </c>
      <c r="M195" s="3405"/>
      <c r="N195" s="3405"/>
      <c r="O195" s="3404"/>
      <c r="P195" s="1770"/>
      <c r="AM195" s="2096">
        <v>195</v>
      </c>
    </row>
    <row r="196" spans="1:39" ht="15.95" customHeight="1">
      <c r="B196" s="3398" t="s">
        <v>1920</v>
      </c>
      <c r="C196" s="3399"/>
      <c r="D196" s="3399"/>
      <c r="E196" s="3400"/>
      <c r="F196" s="3401" t="s">
        <v>67</v>
      </c>
      <c r="G196" s="3402"/>
      <c r="H196" s="3401" t="s">
        <v>67</v>
      </c>
      <c r="I196" s="3402"/>
      <c r="J196" s="3403" t="s">
        <v>57</v>
      </c>
      <c r="K196" s="3404"/>
      <c r="L196" s="3403" t="s">
        <v>57</v>
      </c>
      <c r="M196" s="3405"/>
      <c r="N196" s="3405"/>
      <c r="O196" s="3404"/>
      <c r="P196" s="1770"/>
      <c r="AM196" s="2096">
        <v>196</v>
      </c>
    </row>
    <row r="197" spans="1:39" ht="15.95" customHeight="1">
      <c r="B197" s="3398"/>
      <c r="C197" s="3399"/>
      <c r="D197" s="3399"/>
      <c r="E197" s="3400"/>
      <c r="F197" s="3401"/>
      <c r="G197" s="3402"/>
      <c r="H197" s="3401"/>
      <c r="I197" s="3402"/>
      <c r="J197" s="3403"/>
      <c r="K197" s="3404"/>
      <c r="L197" s="3403"/>
      <c r="M197" s="3405"/>
      <c r="N197" s="3405"/>
      <c r="O197" s="3404"/>
      <c r="P197" s="1770"/>
      <c r="AM197" s="2096">
        <v>197</v>
      </c>
    </row>
    <row r="198" spans="1:39" ht="15.95" customHeight="1">
      <c r="B198" s="3398"/>
      <c r="C198" s="3399"/>
      <c r="D198" s="3399"/>
      <c r="E198" s="3400"/>
      <c r="F198" s="3401"/>
      <c r="G198" s="3402"/>
      <c r="H198" s="3401"/>
      <c r="I198" s="3402"/>
      <c r="J198" s="3403"/>
      <c r="K198" s="3404"/>
      <c r="L198" s="3403"/>
      <c r="M198" s="3405"/>
      <c r="N198" s="3405"/>
      <c r="O198" s="3404"/>
      <c r="P198" s="1770"/>
      <c r="AM198" s="2097">
        <v>198</v>
      </c>
    </row>
    <row r="199" spans="1:39" ht="15.95" customHeight="1">
      <c r="B199" s="3406"/>
      <c r="C199" s="3407"/>
      <c r="D199" s="3407"/>
      <c r="E199" s="3408"/>
      <c r="F199" s="3409"/>
      <c r="G199" s="3410"/>
      <c r="H199" s="3409"/>
      <c r="I199" s="3410"/>
      <c r="J199" s="3411"/>
      <c r="K199" s="3412"/>
      <c r="L199" s="3411"/>
      <c r="M199" s="3413"/>
      <c r="N199" s="3413"/>
      <c r="O199" s="3412"/>
      <c r="P199" s="1771"/>
      <c r="AM199" s="2097">
        <v>199</v>
      </c>
    </row>
    <row r="200" spans="1:39" ht="15.95" customHeight="1">
      <c r="A200" s="1727"/>
      <c r="B200" s="1747" t="s">
        <v>1783</v>
      </c>
      <c r="C200" s="1727"/>
      <c r="D200" s="1727"/>
      <c r="E200" s="1727"/>
      <c r="F200" s="1727"/>
      <c r="G200" s="1727"/>
      <c r="H200" s="1727"/>
      <c r="I200" s="1727"/>
      <c r="J200" s="1727"/>
      <c r="K200" s="1727"/>
      <c r="M200" s="2559"/>
      <c r="N200" s="2553"/>
      <c r="O200" s="1738"/>
      <c r="AM200" s="2097">
        <v>200</v>
      </c>
    </row>
    <row r="201" spans="1:39" ht="15.95" customHeight="1">
      <c r="A201" s="3322" t="s">
        <v>1921</v>
      </c>
      <c r="B201" s="3323"/>
      <c r="C201" s="3323"/>
      <c r="D201" s="3323"/>
      <c r="E201" s="3323"/>
      <c r="F201" s="3323"/>
      <c r="G201" s="3323"/>
      <c r="H201" s="3323"/>
      <c r="I201" s="3323"/>
      <c r="J201" s="3323"/>
      <c r="K201" s="3323"/>
      <c r="L201" s="3323"/>
      <c r="M201" s="3323"/>
      <c r="N201" s="3323"/>
      <c r="O201" s="3323"/>
      <c r="P201" s="3324"/>
      <c r="Q201" s="1804"/>
      <c r="AM201" s="2097">
        <v>201</v>
      </c>
    </row>
    <row r="202" spans="1:39" ht="15.95" customHeight="1">
      <c r="A202" s="1727"/>
      <c r="B202" s="1783" t="s">
        <v>1437</v>
      </c>
      <c r="C202" s="1784"/>
      <c r="D202" s="1783"/>
      <c r="E202" s="1785"/>
      <c r="F202" s="2557"/>
      <c r="G202" s="2557"/>
      <c r="H202" s="2557"/>
      <c r="I202" s="2557"/>
      <c r="J202" s="2557"/>
      <c r="K202" s="2557"/>
      <c r="L202" s="2557"/>
      <c r="M202" s="2557"/>
      <c r="N202" s="1786"/>
      <c r="O202" s="1787"/>
      <c r="P202" s="1729"/>
      <c r="AM202" s="2096">
        <v>202</v>
      </c>
    </row>
    <row r="203" spans="1:39" ht="15.95" customHeight="1">
      <c r="A203" s="3302"/>
      <c r="B203" s="3303"/>
      <c r="C203" s="3303"/>
      <c r="D203" s="3303"/>
      <c r="E203" s="3303"/>
      <c r="F203" s="3303"/>
      <c r="G203" s="3303"/>
      <c r="H203" s="3303"/>
      <c r="I203" s="3303"/>
      <c r="J203" s="3303"/>
      <c r="K203" s="3303"/>
      <c r="L203" s="3303"/>
      <c r="M203" s="3303"/>
      <c r="N203" s="3303"/>
      <c r="O203" s="3303"/>
      <c r="P203" s="3304"/>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1524</v>
      </c>
      <c r="B206" s="1749" t="s">
        <v>1922</v>
      </c>
      <c r="D206" s="1749"/>
      <c r="E206" s="1749"/>
      <c r="K206" s="2060"/>
      <c r="L206" s="1757" t="s">
        <v>1754</v>
      </c>
      <c r="M206" s="1729">
        <v>10</v>
      </c>
      <c r="N206" s="2559"/>
      <c r="O206" s="1824">
        <f>IF(AND($F$12="New Affordability",$C$16="Revitalization/Redevelopment Plans"),MIN($M$206,O212+O222+O229),0)</f>
        <v>0</v>
      </c>
      <c r="P206" s="1824">
        <f>IF(AND($F$12="New Affordability",$C$16="Revitalization/Redevelopment Plans"),MIN($M$206,P212+P222+P229),0)</f>
        <v>0</v>
      </c>
      <c r="Q206" s="1759" t="s">
        <v>787</v>
      </c>
      <c r="R206" s="2051" t="s">
        <v>1923</v>
      </c>
      <c r="S206" s="1724"/>
      <c r="T206" s="1724"/>
      <c r="U206" s="1724"/>
      <c r="V206" s="2052" t="str">
        <f>$C$16</f>
        <v>Stable Communities</v>
      </c>
      <c r="AM206" s="2096">
        <v>206</v>
      </c>
    </row>
    <row r="207" spans="1:39" s="1727" customFormat="1" ht="15.95" customHeight="1">
      <c r="A207" s="1748"/>
      <c r="B207" s="1749"/>
      <c r="D207" s="1749"/>
      <c r="E207" s="1749"/>
      <c r="F207" s="1756" t="s">
        <v>1924</v>
      </c>
      <c r="L207" s="1790"/>
      <c r="M207" s="1729"/>
      <c r="N207" s="2559"/>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1925</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1926</v>
      </c>
      <c r="D209" s="1777"/>
      <c r="E209" s="1777"/>
      <c r="F209" s="1777"/>
      <c r="G209" s="1777"/>
      <c r="H209" s="1777"/>
      <c r="I209" s="1777"/>
      <c r="J209" s="1777"/>
      <c r="K209" s="1777"/>
      <c r="L209" s="1779"/>
      <c r="N209" s="3389" t="s">
        <v>1927</v>
      </c>
      <c r="O209" s="3390"/>
      <c r="P209" s="3391"/>
      <c r="S209" s="1724"/>
      <c r="T209" s="1724"/>
      <c r="U209" s="1724"/>
      <c r="AM209" s="2097">
        <v>209</v>
      </c>
    </row>
    <row r="210" spans="1:39" s="1727" customFormat="1" ht="15.95" customHeight="1">
      <c r="A210" s="2559"/>
      <c r="B210" s="1762"/>
      <c r="C210" s="1727" t="s">
        <v>1928</v>
      </c>
      <c r="L210" s="1762"/>
      <c r="N210" s="3392" t="s">
        <v>1927</v>
      </c>
      <c r="O210" s="3393"/>
      <c r="P210" s="3394"/>
      <c r="S210" s="1724"/>
      <c r="T210" s="1724"/>
      <c r="U210" s="1724"/>
      <c r="AM210" s="2097">
        <v>210</v>
      </c>
    </row>
    <row r="211" spans="1:39" s="1727" customFormat="1" ht="15.95" customHeight="1">
      <c r="A211" s="2559"/>
      <c r="B211" s="1762"/>
      <c r="C211" s="1727" t="s">
        <v>1929</v>
      </c>
      <c r="L211" s="1762"/>
      <c r="N211" s="3395" t="s">
        <v>1927</v>
      </c>
      <c r="O211" s="3396"/>
      <c r="P211" s="3397"/>
      <c r="Q211" s="1645"/>
      <c r="S211" s="1724"/>
      <c r="T211" s="1724"/>
      <c r="U211" s="1724"/>
      <c r="V211" s="1645"/>
      <c r="AM211" s="2097">
        <v>211</v>
      </c>
    </row>
    <row r="212" spans="1:39" s="1727" customFormat="1" ht="15.95" customHeight="1">
      <c r="A212" s="1729" t="s">
        <v>199</v>
      </c>
      <c r="B212" s="1851" t="s">
        <v>1930</v>
      </c>
      <c r="L212" s="1823" t="s">
        <v>1754</v>
      </c>
      <c r="M212" s="2559">
        <v>6</v>
      </c>
      <c r="N212" s="1762"/>
      <c r="O212" s="1828">
        <f>MIN($M212,O213+O214+O215)</f>
        <v>0</v>
      </c>
      <c r="P212" s="1828">
        <f>MIN($M212,P213+P214+P215)</f>
        <v>0</v>
      </c>
      <c r="Q212" s="1645"/>
      <c r="S212" s="1724"/>
      <c r="T212" s="1724"/>
      <c r="U212" s="1724"/>
      <c r="V212" s="1645"/>
      <c r="AM212" s="2096">
        <v>212</v>
      </c>
    </row>
    <row r="213" spans="1:39" ht="15.95" customHeight="1">
      <c r="A213" s="1901"/>
      <c r="B213" s="1851" t="s">
        <v>1931</v>
      </c>
      <c r="D213" s="1777"/>
      <c r="E213" s="1777"/>
      <c r="F213" s="1777"/>
      <c r="G213" s="1777"/>
      <c r="H213" s="1777"/>
      <c r="I213" s="1777"/>
      <c r="K213" s="2559"/>
      <c r="L213" s="1761" t="str">
        <f t="shared" ref="L213:L214" si="6">IF(OR($O213=$M213,$O213=0,$O213=""),"","* * Check Score! * *")</f>
        <v/>
      </c>
      <c r="M213" s="2559">
        <v>2</v>
      </c>
      <c r="N213" s="1779"/>
      <c r="O213" s="1646"/>
      <c r="P213" s="1849"/>
      <c r="R213" s="1724"/>
      <c r="S213" s="1724"/>
      <c r="T213" s="1724"/>
      <c r="U213" s="1724"/>
      <c r="AM213" s="2097">
        <v>213</v>
      </c>
    </row>
    <row r="214" spans="1:39" ht="15.95" customHeight="1">
      <c r="A214" s="1792"/>
      <c r="B214" s="1726" t="s">
        <v>1932</v>
      </c>
      <c r="D214" s="1884"/>
      <c r="E214" s="1884"/>
      <c r="F214" s="1884"/>
      <c r="G214" s="1884"/>
      <c r="H214" s="1884"/>
      <c r="I214" s="1884"/>
      <c r="J214" s="1884"/>
      <c r="K214" s="1884"/>
      <c r="L214" s="1761" t="str">
        <f t="shared" si="6"/>
        <v/>
      </c>
      <c r="M214" s="2559">
        <v>1</v>
      </c>
      <c r="N214" s="1762"/>
      <c r="O214" s="1643"/>
      <c r="P214" s="1891"/>
      <c r="Q214" s="1848" t="str">
        <f>IF(OR($O214=$M214,$O214=0,$O214=""),"","*CHECK!*")</f>
        <v/>
      </c>
      <c r="R214" s="1765"/>
      <c r="AM214" s="2096">
        <v>214</v>
      </c>
    </row>
    <row r="215" spans="1:39" ht="15.95" customHeight="1">
      <c r="A215" s="1901"/>
      <c r="B215" s="1851" t="s">
        <v>1933</v>
      </c>
      <c r="D215" s="1777"/>
      <c r="E215" s="1777"/>
      <c r="F215" s="1777"/>
      <c r="G215" s="1777"/>
      <c r="H215" s="1777"/>
      <c r="I215" s="1777"/>
      <c r="K215" s="2559"/>
      <c r="L215" s="1823" t="s">
        <v>1754</v>
      </c>
      <c r="M215" s="2559">
        <v>3</v>
      </c>
      <c r="N215" s="1726"/>
      <c r="O215" s="1828">
        <f>MIN($M215,O216+O220+O221)</f>
        <v>0</v>
      </c>
      <c r="P215" s="1828">
        <f>MIN($M215,P216+P220+P221)</f>
        <v>0</v>
      </c>
      <c r="R215" s="1724"/>
      <c r="S215" s="1724"/>
      <c r="T215" s="1724"/>
      <c r="U215" s="1724"/>
      <c r="AM215" s="2096">
        <v>215</v>
      </c>
    </row>
    <row r="216" spans="1:39" ht="15.95" customHeight="1">
      <c r="A216" s="2559"/>
      <c r="B216" s="1767"/>
      <c r="C216" s="1776" t="s">
        <v>1934</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1935</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1936</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1937</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1938</v>
      </c>
      <c r="E220" s="2557"/>
      <c r="F220" s="2557"/>
      <c r="G220" s="2557"/>
      <c r="H220" s="2557"/>
      <c r="I220" s="2557"/>
      <c r="J220" s="2557"/>
      <c r="K220" s="2557"/>
      <c r="L220" s="1761" t="str">
        <f t="shared" ref="L220:L221" si="7">IF(OR($O220=$M220,$O220=0,$O220=""),"","* * Check Score! * *")</f>
        <v/>
      </c>
      <c r="M220" s="2562">
        <v>1</v>
      </c>
      <c r="N220" s="1786"/>
      <c r="O220" s="1646"/>
      <c r="P220" s="1849"/>
      <c r="AM220" s="2096">
        <v>220</v>
      </c>
    </row>
    <row r="221" spans="1:39" ht="15.95" customHeight="1">
      <c r="A221" s="2559"/>
      <c r="C221" s="1776" t="s">
        <v>1939</v>
      </c>
      <c r="E221" s="2557"/>
      <c r="F221" s="2557"/>
      <c r="G221" s="2557"/>
      <c r="H221" s="2557"/>
      <c r="I221" s="2557"/>
      <c r="J221" s="2557"/>
      <c r="K221" s="2557"/>
      <c r="L221" s="1761" t="str">
        <f t="shared" si="7"/>
        <v/>
      </c>
      <c r="M221" s="2562">
        <v>2</v>
      </c>
      <c r="N221" s="1786"/>
      <c r="O221" s="1635"/>
      <c r="P221" s="1850"/>
      <c r="AM221" s="2097">
        <v>221</v>
      </c>
    </row>
    <row r="222" spans="1:39" ht="15.95" customHeight="1">
      <c r="A222" s="1729" t="s">
        <v>211</v>
      </c>
      <c r="B222" s="1736" t="s">
        <v>1940</v>
      </c>
      <c r="C222" s="2557"/>
      <c r="D222" s="2557"/>
      <c r="E222" s="2557"/>
      <c r="F222" s="2557"/>
      <c r="G222" s="2557"/>
      <c r="H222" s="2557"/>
      <c r="I222" s="2557"/>
      <c r="J222" s="2557"/>
      <c r="K222" s="2557"/>
      <c r="L222" s="1823" t="s">
        <v>1754</v>
      </c>
      <c r="M222" s="1729">
        <v>3</v>
      </c>
      <c r="N222" s="1786"/>
      <c r="O222" s="1772">
        <f>IF(O223="yes",MIN($M222,O224+O228),0)</f>
        <v>0</v>
      </c>
      <c r="P222" s="1772">
        <f>IF(P223="yes",MIN($M222,P224+P228),0)</f>
        <v>0</v>
      </c>
      <c r="Q222" s="1759"/>
      <c r="R222" s="1765"/>
      <c r="AM222" s="2097">
        <v>222</v>
      </c>
    </row>
    <row r="223" spans="1:39" ht="15.95" customHeight="1">
      <c r="A223" s="1729"/>
      <c r="B223" s="1727" t="s">
        <v>1941</v>
      </c>
      <c r="C223" s="2557"/>
      <c r="D223" s="2557"/>
      <c r="E223" s="2557"/>
      <c r="F223" s="2557"/>
      <c r="G223" s="2557"/>
      <c r="H223" s="2557"/>
      <c r="I223" s="2557"/>
      <c r="J223" s="2557"/>
      <c r="K223" s="2557"/>
      <c r="L223" s="1823"/>
      <c r="M223" s="1729"/>
      <c r="N223" s="1786"/>
      <c r="O223" s="1673"/>
      <c r="P223" s="1893"/>
      <c r="Q223" s="1759"/>
      <c r="R223" s="1765"/>
      <c r="AM223" s="2097">
        <v>223</v>
      </c>
    </row>
    <row r="224" spans="1:39" ht="15.95" customHeight="1">
      <c r="A224" s="1748"/>
      <c r="B224" s="1902" t="s">
        <v>214</v>
      </c>
      <c r="C224" s="1776" t="s">
        <v>1942</v>
      </c>
      <c r="D224" s="2557"/>
      <c r="E224" s="2557"/>
      <c r="F224" s="2557"/>
      <c r="G224" s="2557"/>
      <c r="H224" s="2557"/>
      <c r="L224" s="1823" t="s">
        <v>1754</v>
      </c>
      <c r="M224" s="2559">
        <v>3</v>
      </c>
      <c r="N224" s="1786"/>
      <c r="O224" s="2008">
        <f>MIN($M224,O225+O226+O227)</f>
        <v>0</v>
      </c>
      <c r="P224" s="2008">
        <f>MIN($M224,P225+P226+P227)</f>
        <v>0</v>
      </c>
      <c r="Q224" s="1759"/>
      <c r="R224" s="1765"/>
      <c r="AM224" s="2097">
        <v>224</v>
      </c>
    </row>
    <row r="225" spans="1:39" ht="15.95" customHeight="1">
      <c r="B225" s="1767" t="s">
        <v>216</v>
      </c>
      <c r="C225" s="1726" t="s">
        <v>1943</v>
      </c>
      <c r="L225" s="1761" t="str">
        <f>IF(OR($O225=$M225,$O225=0,$O225=""),"","* * Check Score! * *")</f>
        <v/>
      </c>
      <c r="M225" s="2553">
        <v>1</v>
      </c>
      <c r="N225" s="2553"/>
      <c r="O225" s="1646"/>
      <c r="P225" s="1849"/>
      <c r="AM225" s="2096">
        <v>225</v>
      </c>
    </row>
    <row r="226" spans="1:39" ht="15.95" customHeight="1">
      <c r="B226" s="1767" t="s">
        <v>219</v>
      </c>
      <c r="C226" s="1726" t="s">
        <v>1944</v>
      </c>
      <c r="L226" s="1761" t="str">
        <f t="shared" ref="L226" si="8">IF(OR($O226=$M226,$O226=0,$O226=""),"","* * Check Score! * *")</f>
        <v/>
      </c>
      <c r="M226" s="2553">
        <v>1</v>
      </c>
      <c r="N226" s="2553"/>
      <c r="O226" s="1634"/>
      <c r="P226" s="1852"/>
      <c r="AM226" s="2097">
        <v>226</v>
      </c>
    </row>
    <row r="227" spans="1:39" ht="15.95" customHeight="1">
      <c r="B227" s="1767" t="s">
        <v>221</v>
      </c>
      <c r="C227" s="1726" t="s">
        <v>1945</v>
      </c>
      <c r="L227" s="1761"/>
      <c r="M227" s="2553">
        <v>1</v>
      </c>
      <c r="N227" s="2553"/>
      <c r="O227" s="1635"/>
      <c r="P227" s="1850"/>
      <c r="AM227" s="2096">
        <v>227</v>
      </c>
    </row>
    <row r="228" spans="1:39" ht="15.95" customHeight="1">
      <c r="A228" s="1748"/>
      <c r="B228" s="1766" t="s">
        <v>222</v>
      </c>
      <c r="C228" s="1727" t="s">
        <v>1946</v>
      </c>
      <c r="D228" s="1823"/>
      <c r="E228" s="2557"/>
      <c r="F228" s="2557"/>
      <c r="G228" s="2557"/>
      <c r="H228" s="2557"/>
      <c r="M228" s="2559">
        <v>2</v>
      </c>
      <c r="N228" s="1903" t="str">
        <f>IF(OR(O$265&gt;0,O$238&gt;0),"Applicant is ineligible for points in this section!  Points claimed in Stable Communities or Community Designations.","")</f>
        <v>Applicant is ineligible for points in this section!  Points claimed in Stable Communities or Community Designations.</v>
      </c>
      <c r="O228" s="1635"/>
      <c r="P228" s="1850"/>
      <c r="Q228" s="1759"/>
      <c r="R228" s="1724"/>
      <c r="S228" s="1724"/>
      <c r="T228" s="1724"/>
      <c r="U228" s="1724"/>
      <c r="AM228" s="2096">
        <v>228</v>
      </c>
    </row>
    <row r="229" spans="1:39" ht="15.95" customHeight="1">
      <c r="A229" s="1729" t="s">
        <v>232</v>
      </c>
      <c r="B229" s="1736" t="s">
        <v>1947</v>
      </c>
      <c r="D229" s="1727"/>
      <c r="F229" s="1904"/>
      <c r="K229" s="1905"/>
      <c r="L229" s="1823" t="s">
        <v>1754</v>
      </c>
      <c r="M229" s="1729">
        <v>3</v>
      </c>
      <c r="N229" s="1762"/>
      <c r="O229" s="1906">
        <f>MIN($M229,O230+O231)</f>
        <v>0</v>
      </c>
      <c r="P229" s="1906">
        <f>MIN($M229,P230+P231)</f>
        <v>0</v>
      </c>
      <c r="Q229" s="1764"/>
      <c r="R229" s="1765"/>
      <c r="AM229" s="2096">
        <v>229</v>
      </c>
    </row>
    <row r="230" spans="1:39" ht="15.95" customHeight="1">
      <c r="A230" s="1727"/>
      <c r="B230" s="1902" t="s">
        <v>214</v>
      </c>
      <c r="C230" s="1776" t="s">
        <v>1948</v>
      </c>
      <c r="D230" s="2557"/>
      <c r="E230" s="2557"/>
      <c r="F230" s="2557"/>
      <c r="G230" s="2557"/>
      <c r="H230" s="2557"/>
      <c r="I230" s="2557"/>
      <c r="J230" s="2557"/>
      <c r="K230" s="2557"/>
      <c r="L230" s="1823" t="s">
        <v>1754</v>
      </c>
      <c r="M230" s="1786">
        <v>2</v>
      </c>
      <c r="N230" s="1786"/>
      <c r="O230" s="1635"/>
      <c r="P230" s="1850"/>
      <c r="AM230" s="2096">
        <v>230</v>
      </c>
    </row>
    <row r="231" spans="1:39" ht="15.95" customHeight="1">
      <c r="A231" s="1727"/>
      <c r="B231" s="1766" t="s">
        <v>222</v>
      </c>
      <c r="C231" s="1776" t="s">
        <v>1949</v>
      </c>
      <c r="D231" s="2557"/>
      <c r="E231" s="2557"/>
      <c r="F231" s="2557"/>
      <c r="G231" s="2557"/>
      <c r="H231" s="2557"/>
      <c r="I231" s="2557"/>
      <c r="J231" s="2557"/>
      <c r="K231" s="2557"/>
      <c r="L231" s="2557"/>
      <c r="M231" s="1786">
        <v>1</v>
      </c>
      <c r="N231" s="1786"/>
      <c r="O231" s="1635"/>
      <c r="P231" s="1850"/>
      <c r="AM231" s="2096">
        <v>231</v>
      </c>
    </row>
    <row r="232" spans="1:39" s="1727" customFormat="1" ht="15.95" customHeight="1">
      <c r="B232" s="1747" t="s">
        <v>1783</v>
      </c>
      <c r="L232" s="1726"/>
      <c r="M232" s="2559"/>
      <c r="N232" s="2553"/>
      <c r="O232" s="1738"/>
      <c r="P232" s="1737"/>
      <c r="AM232" s="2096">
        <v>232</v>
      </c>
    </row>
    <row r="233" spans="1:39" ht="15.95" customHeight="1">
      <c r="A233" s="3322" t="s">
        <v>1950</v>
      </c>
      <c r="B233" s="3323"/>
      <c r="C233" s="3323"/>
      <c r="D233" s="3323"/>
      <c r="E233" s="3323"/>
      <c r="F233" s="3323"/>
      <c r="G233" s="3323"/>
      <c r="H233" s="3323"/>
      <c r="I233" s="3323"/>
      <c r="J233" s="3323"/>
      <c r="K233" s="3323"/>
      <c r="L233" s="3323"/>
      <c r="M233" s="3323"/>
      <c r="N233" s="3323"/>
      <c r="O233" s="3323"/>
      <c r="P233" s="3324"/>
      <c r="Q233" s="1804"/>
      <c r="AM233" s="2097">
        <v>233</v>
      </c>
    </row>
    <row r="234" spans="1:39" s="1727" customFormat="1" ht="15.95" customHeight="1">
      <c r="B234" s="1832" t="s">
        <v>1437</v>
      </c>
      <c r="D234" s="1832"/>
      <c r="E234" s="2556"/>
      <c r="F234" s="2556"/>
      <c r="G234" s="2556"/>
      <c r="H234" s="2556"/>
      <c r="I234" s="2556"/>
      <c r="J234" s="2556"/>
      <c r="K234" s="2556"/>
      <c r="L234" s="2556"/>
      <c r="M234" s="2556"/>
      <c r="N234" s="2562"/>
      <c r="O234" s="2554"/>
      <c r="P234" s="1729"/>
      <c r="Q234" s="1726"/>
      <c r="AM234" s="2097">
        <v>234</v>
      </c>
    </row>
    <row r="235" spans="1:39" ht="15.95" customHeight="1">
      <c r="A235" s="3302"/>
      <c r="B235" s="3303"/>
      <c r="C235" s="3303"/>
      <c r="D235" s="3303"/>
      <c r="E235" s="3303"/>
      <c r="F235" s="3303"/>
      <c r="G235" s="3303"/>
      <c r="H235" s="3303"/>
      <c r="I235" s="3303"/>
      <c r="J235" s="3303"/>
      <c r="K235" s="3303"/>
      <c r="L235" s="3303"/>
      <c r="M235" s="3303"/>
      <c r="N235" s="3303"/>
      <c r="O235" s="3303"/>
      <c r="P235" s="3304"/>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1527</v>
      </c>
      <c r="B238" s="1749" t="s">
        <v>1951</v>
      </c>
      <c r="D238" s="1749"/>
      <c r="E238" s="1749"/>
      <c r="F238" s="1756" t="s">
        <v>56</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59"/>
      <c r="O238" s="1758">
        <f>IF($C$16="Stable Communities",J251,0)</f>
        <v>10</v>
      </c>
      <c r="P238" s="1758">
        <f>IF($H$16="Stable Communities",K251,0)</f>
        <v>0</v>
      </c>
      <c r="Q238" s="1759" t="s">
        <v>787</v>
      </c>
      <c r="R238" s="2051" t="s">
        <v>1923</v>
      </c>
      <c r="S238" s="1724"/>
      <c r="T238" s="1724"/>
      <c r="U238" s="1724"/>
      <c r="V238" s="2052" t="str">
        <f>$C$16</f>
        <v>Stable Communities</v>
      </c>
      <c r="W238" s="1726"/>
      <c r="X238" s="1726"/>
      <c r="AM238" s="2097">
        <v>238</v>
      </c>
    </row>
    <row r="239" spans="1:39" s="1727" customFormat="1" ht="15.95" customHeight="1">
      <c r="A239" s="1748"/>
      <c r="B239" s="1749"/>
      <c r="D239" s="1749"/>
      <c r="E239" s="1749"/>
      <c r="F239" s="1756" t="s">
        <v>1924</v>
      </c>
      <c r="L239" s="1790"/>
      <c r="M239" s="1729"/>
      <c r="N239" s="2559"/>
      <c r="O239" s="1738">
        <f>MAX(J251,O238)</f>
        <v>10</v>
      </c>
      <c r="P239" s="1738">
        <f>MAX(K251,P238)</f>
        <v>0</v>
      </c>
      <c r="Q239" s="1759"/>
      <c r="R239" s="1765"/>
      <c r="S239" s="1724"/>
      <c r="T239" s="1724"/>
      <c r="U239" s="1724"/>
      <c r="V239" s="1726"/>
      <c r="W239" s="1726"/>
      <c r="X239" s="1726"/>
      <c r="AM239" s="2096">
        <v>239</v>
      </c>
    </row>
    <row r="240" spans="1:39" s="1727" customFormat="1" ht="15.95" customHeight="1">
      <c r="A240" s="1748"/>
      <c r="B240" s="1736" t="s">
        <v>1952</v>
      </c>
      <c r="D240" s="1749"/>
      <c r="J240" s="1954" t="s">
        <v>1745</v>
      </c>
      <c r="K240" s="2009" t="s">
        <v>774</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1953</v>
      </c>
      <c r="D241" s="2016"/>
      <c r="E241" s="2016"/>
      <c r="G241" s="3377" t="s">
        <v>1954</v>
      </c>
      <c r="H241" s="3378"/>
      <c r="I241" s="2018" t="s">
        <v>1955</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1956</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1957</v>
      </c>
      <c r="J244" s="3379"/>
      <c r="K244" s="3380"/>
      <c r="L244" s="3380"/>
      <c r="M244" s="3381"/>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1958</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1959</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1960</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1961</v>
      </c>
      <c r="D249" s="1899"/>
      <c r="E249" s="1749"/>
      <c r="J249" s="2036">
        <f>COUNTIF(E254:F258,"Above 50th")</f>
        <v>4</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1962</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1963</v>
      </c>
      <c r="D251" s="1899"/>
      <c r="E251" s="1749"/>
      <c r="J251" s="2057">
        <f>IF(AND(J249=2,J250="No"),6,IF(AND(J249=3,J250="No"),8,IF(AND(J249&gt;=4,J250="No"),10,IF(AND(J249=2,J250="Yes"),5,IF(AND(J249=3,J250="Yes"),7,IF(AND(J249&gt;=4,J250="Yes"),9,0))))))</f>
        <v>10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1964</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1965</v>
      </c>
      <c r="C253" s="1726"/>
      <c r="D253" s="2011"/>
      <c r="E253" s="3382" t="s">
        <v>1966</v>
      </c>
      <c r="F253" s="3382"/>
      <c r="G253" s="3382"/>
      <c r="H253" s="2560" t="s">
        <v>1967</v>
      </c>
      <c r="I253" s="3383" t="s">
        <v>1968</v>
      </c>
      <c r="J253" s="3383"/>
      <c r="K253" s="3383"/>
      <c r="L253" s="3383"/>
      <c r="M253" s="3383"/>
      <c r="N253" s="3383"/>
      <c r="O253" s="3383"/>
      <c r="P253" s="3383"/>
      <c r="R253" s="1765"/>
      <c r="S253" s="1724"/>
      <c r="T253" s="1724"/>
      <c r="U253" s="1724"/>
      <c r="V253" s="1726"/>
      <c r="W253" s="1726"/>
      <c r="X253" s="1726"/>
      <c r="AM253" s="2097">
        <v>253</v>
      </c>
    </row>
    <row r="254" spans="1:39" s="1727" customFormat="1" ht="15.95" customHeight="1">
      <c r="A254" s="1748"/>
      <c r="B254" s="1727" t="s">
        <v>1969</v>
      </c>
      <c r="C254" s="1726"/>
      <c r="D254" s="2011"/>
      <c r="E254" s="3384" t="s">
        <v>1970</v>
      </c>
      <c r="F254" s="3385"/>
      <c r="G254" s="2054"/>
      <c r="H254" s="2012"/>
      <c r="I254" s="3384" t="s">
        <v>1971</v>
      </c>
      <c r="J254" s="3385"/>
      <c r="K254" s="3386"/>
      <c r="L254" s="3387"/>
      <c r="M254" s="3384" t="s">
        <v>1972</v>
      </c>
      <c r="N254" s="3388"/>
      <c r="O254" s="3388"/>
      <c r="P254" s="3385"/>
      <c r="R254" s="1765"/>
      <c r="S254" s="1724"/>
      <c r="T254" s="1724"/>
      <c r="U254" s="1724"/>
      <c r="V254" s="1726"/>
      <c r="W254" s="1726"/>
      <c r="X254" s="1726"/>
      <c r="AM254" s="2097">
        <v>254</v>
      </c>
    </row>
    <row r="255" spans="1:39" s="1727" customFormat="1" ht="15.95" customHeight="1">
      <c r="A255" s="1748"/>
      <c r="B255" s="1727" t="s">
        <v>1973</v>
      </c>
      <c r="C255" s="1726"/>
      <c r="D255" s="2011"/>
      <c r="E255" s="3367" t="s">
        <v>1970</v>
      </c>
      <c r="F255" s="3368"/>
      <c r="G255" s="2055"/>
      <c r="H255" s="2013"/>
      <c r="I255" s="3367" t="s">
        <v>1971</v>
      </c>
      <c r="J255" s="3368"/>
      <c r="K255" s="3369"/>
      <c r="L255" s="3370"/>
      <c r="M255" s="3367" t="s">
        <v>1972</v>
      </c>
      <c r="N255" s="3371"/>
      <c r="O255" s="3371"/>
      <c r="P255" s="3368"/>
      <c r="R255" s="1765"/>
      <c r="S255" s="1724"/>
      <c r="T255" s="1724"/>
      <c r="U255" s="1724"/>
      <c r="V255" s="1726"/>
      <c r="W255" s="1726"/>
      <c r="X255" s="1726"/>
      <c r="AM255" s="2096">
        <v>255</v>
      </c>
    </row>
    <row r="256" spans="1:39" s="1727" customFormat="1" ht="15.95" customHeight="1">
      <c r="A256" s="1748"/>
      <c r="B256" s="1727" t="s">
        <v>1974</v>
      </c>
      <c r="C256" s="1726"/>
      <c r="D256" s="2011"/>
      <c r="E256" s="3367" t="s">
        <v>1970</v>
      </c>
      <c r="F256" s="3368"/>
      <c r="G256" s="2055"/>
      <c r="H256" s="2013"/>
      <c r="I256" s="3367" t="s">
        <v>1971</v>
      </c>
      <c r="J256" s="3368"/>
      <c r="K256" s="3369"/>
      <c r="L256" s="3370"/>
      <c r="M256" s="3367" t="s">
        <v>1972</v>
      </c>
      <c r="N256" s="3371"/>
      <c r="O256" s="3371"/>
      <c r="P256" s="3368"/>
      <c r="R256" s="1765"/>
      <c r="S256" s="1724"/>
      <c r="T256" s="1724"/>
      <c r="U256" s="1724"/>
      <c r="V256" s="1726"/>
      <c r="W256" s="1726"/>
      <c r="X256" s="1726"/>
      <c r="AM256" s="2097">
        <v>256</v>
      </c>
    </row>
    <row r="257" spans="1:39" s="1727" customFormat="1" ht="15.95" customHeight="1">
      <c r="A257" s="1748"/>
      <c r="B257" s="1727" t="s">
        <v>1975</v>
      </c>
      <c r="C257" s="1749"/>
      <c r="D257" s="1749"/>
      <c r="E257" s="3367" t="s">
        <v>1970</v>
      </c>
      <c r="F257" s="3368"/>
      <c r="G257" s="2055"/>
      <c r="H257" s="2058" t="s">
        <v>1976</v>
      </c>
      <c r="I257" s="3367" t="s">
        <v>1971</v>
      </c>
      <c r="J257" s="3368"/>
      <c r="K257" s="3369"/>
      <c r="L257" s="3370"/>
      <c r="M257" s="3367" t="s">
        <v>1972</v>
      </c>
      <c r="N257" s="3371"/>
      <c r="O257" s="3371"/>
      <c r="P257" s="3368"/>
      <c r="R257" s="1765"/>
      <c r="S257" s="1724"/>
      <c r="T257" s="1724"/>
      <c r="U257" s="1724"/>
      <c r="V257" s="1726"/>
      <c r="W257" s="1726"/>
      <c r="X257" s="1726"/>
      <c r="AM257" s="2096">
        <v>257</v>
      </c>
    </row>
    <row r="258" spans="1:39" s="1727" customFormat="1" ht="15.95" customHeight="1">
      <c r="A258" s="1748"/>
      <c r="B258" s="1727" t="s">
        <v>1977</v>
      </c>
      <c r="C258" s="1749"/>
      <c r="D258" s="1749"/>
      <c r="E258" s="3372" t="s">
        <v>1978</v>
      </c>
      <c r="F258" s="3373"/>
      <c r="G258" s="2056"/>
      <c r="H258" s="2059" t="s">
        <v>1976</v>
      </c>
      <c r="I258" s="3372" t="s">
        <v>1971</v>
      </c>
      <c r="J258" s="3373"/>
      <c r="K258" s="3374"/>
      <c r="L258" s="3375"/>
      <c r="M258" s="3372" t="s">
        <v>1972</v>
      </c>
      <c r="N258" s="3376"/>
      <c r="O258" s="3376"/>
      <c r="P258" s="3373"/>
      <c r="R258" s="1765"/>
      <c r="S258" s="1724"/>
      <c r="T258" s="1724"/>
      <c r="U258" s="1724"/>
      <c r="V258" s="1726"/>
      <c r="W258" s="1726"/>
      <c r="X258" s="1726"/>
      <c r="AM258" s="2096">
        <v>258</v>
      </c>
    </row>
    <row r="259" spans="1:39" ht="15.95" customHeight="1">
      <c r="A259" s="1727"/>
      <c r="B259" s="1747" t="s">
        <v>1783</v>
      </c>
      <c r="C259" s="1727"/>
      <c r="D259" s="1727"/>
      <c r="E259" s="1727"/>
      <c r="F259" s="1727"/>
      <c r="G259" s="1727"/>
      <c r="H259" s="1727"/>
      <c r="I259" s="1727"/>
      <c r="J259" s="1727"/>
      <c r="K259" s="1727"/>
      <c r="M259" s="2559"/>
      <c r="N259" s="2553"/>
      <c r="O259" s="1738"/>
      <c r="AM259" s="2096">
        <v>259</v>
      </c>
    </row>
    <row r="260" spans="1:39" ht="33" customHeight="1">
      <c r="A260" s="3322" t="s">
        <v>1979</v>
      </c>
      <c r="B260" s="3323"/>
      <c r="C260" s="3323"/>
      <c r="D260" s="3323"/>
      <c r="E260" s="3323"/>
      <c r="F260" s="3323"/>
      <c r="G260" s="3323"/>
      <c r="H260" s="3323"/>
      <c r="I260" s="3323"/>
      <c r="J260" s="3323"/>
      <c r="K260" s="3323"/>
      <c r="L260" s="3323"/>
      <c r="M260" s="3323"/>
      <c r="N260" s="3323"/>
      <c r="O260" s="3323"/>
      <c r="P260" s="3324"/>
      <c r="Q260" s="1804"/>
      <c r="AM260" s="2096">
        <v>260</v>
      </c>
    </row>
    <row r="261" spans="1:39" ht="15.95" customHeight="1">
      <c r="A261" s="1727"/>
      <c r="B261" s="1783" t="s">
        <v>1437</v>
      </c>
      <c r="C261" s="1727"/>
      <c r="D261" s="1783"/>
      <c r="E261" s="2557"/>
      <c r="F261" s="2557"/>
      <c r="G261" s="2557"/>
      <c r="H261" s="2557"/>
      <c r="I261" s="2557"/>
      <c r="J261" s="2557"/>
      <c r="K261" s="2557"/>
      <c r="L261" s="2557"/>
      <c r="M261" s="2557"/>
      <c r="N261" s="1786"/>
      <c r="O261" s="1787"/>
      <c r="P261" s="1729"/>
      <c r="AM261" s="2097">
        <v>261</v>
      </c>
    </row>
    <row r="262" spans="1:39" ht="15.95" customHeight="1">
      <c r="A262" s="3302"/>
      <c r="B262" s="3303"/>
      <c r="C262" s="3303"/>
      <c r="D262" s="3303"/>
      <c r="E262" s="3303"/>
      <c r="F262" s="3303"/>
      <c r="G262" s="3303"/>
      <c r="H262" s="3303"/>
      <c r="I262" s="3303"/>
      <c r="J262" s="3303"/>
      <c r="K262" s="3303"/>
      <c r="L262" s="3303"/>
      <c r="M262" s="3303"/>
      <c r="N262" s="3303"/>
      <c r="O262" s="3303"/>
      <c r="P262" s="3304"/>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1535</v>
      </c>
      <c r="B265" s="1749" t="s">
        <v>1980</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787</v>
      </c>
      <c r="R265" s="2051" t="s">
        <v>1923</v>
      </c>
      <c r="S265" s="1724"/>
      <c r="T265" s="1724"/>
      <c r="U265" s="1724"/>
      <c r="V265" s="2052" t="str">
        <f>$C$16</f>
        <v>Stable Communities</v>
      </c>
      <c r="AM265" s="2096">
        <v>265</v>
      </c>
    </row>
    <row r="266" spans="1:39" ht="15.95" customHeight="1">
      <c r="A266" s="1729" t="s">
        <v>199</v>
      </c>
      <c r="B266" s="1796" t="s">
        <v>1981</v>
      </c>
      <c r="D266" s="1776"/>
      <c r="E266" s="1776"/>
      <c r="F266" s="1776"/>
      <c r="G266" s="1776"/>
      <c r="H266" s="1776"/>
      <c r="L266" s="1776"/>
      <c r="M266" s="3365" t="str">
        <f>IF(AND(O266="Yes",O267="Yes"),"Only one category can be selected!","")</f>
        <v/>
      </c>
      <c r="N266" s="1762"/>
      <c r="O266" s="1637" t="s">
        <v>1758</v>
      </c>
      <c r="P266" s="1768"/>
      <c r="Q266" s="2564"/>
      <c r="R266" s="1724"/>
      <c r="S266" s="1724"/>
      <c r="T266" s="1724"/>
      <c r="U266" s="1724"/>
      <c r="V266" s="1724"/>
      <c r="AM266" s="2097">
        <v>266</v>
      </c>
    </row>
    <row r="267" spans="1:39" ht="15.95" customHeight="1">
      <c r="A267" s="1729" t="s">
        <v>211</v>
      </c>
      <c r="B267" s="1796" t="s">
        <v>1982</v>
      </c>
      <c r="D267" s="1776"/>
      <c r="L267" s="1776"/>
      <c r="M267" s="3365"/>
      <c r="N267" s="1762"/>
      <c r="O267" s="1636" t="s">
        <v>1758</v>
      </c>
      <c r="P267" s="1771"/>
      <c r="Q267" s="2564"/>
      <c r="R267" s="1724"/>
      <c r="S267" s="1724"/>
      <c r="T267" s="1724"/>
      <c r="U267" s="1724"/>
      <c r="V267" s="1724"/>
      <c r="AM267" s="2096">
        <v>267</v>
      </c>
    </row>
    <row r="268" spans="1:39" ht="15.95" customHeight="1">
      <c r="A268" s="1727"/>
      <c r="B268" s="1747" t="s">
        <v>1783</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2" t="s">
        <v>1983</v>
      </c>
      <c r="B269" s="3323"/>
      <c r="C269" s="3323"/>
      <c r="D269" s="3323"/>
      <c r="E269" s="3323"/>
      <c r="F269" s="3323"/>
      <c r="G269" s="3323"/>
      <c r="H269" s="3323"/>
      <c r="I269" s="3323"/>
      <c r="J269" s="3323"/>
      <c r="K269" s="3323"/>
      <c r="L269" s="3323"/>
      <c r="M269" s="3323"/>
      <c r="N269" s="3323"/>
      <c r="O269" s="3323"/>
      <c r="P269" s="3324"/>
      <c r="Q269" s="1804"/>
      <c r="AM269" s="2096">
        <v>269</v>
      </c>
    </row>
    <row r="270" spans="1:39" ht="15.95" customHeight="1">
      <c r="A270" s="1727"/>
      <c r="B270" s="1783" t="s">
        <v>1437</v>
      </c>
      <c r="C270" s="1727"/>
      <c r="D270" s="1783"/>
      <c r="E270" s="2557"/>
      <c r="F270" s="2557"/>
      <c r="G270" s="2557"/>
      <c r="H270" s="2557"/>
      <c r="I270" s="2557"/>
      <c r="J270" s="2557"/>
      <c r="K270" s="2557"/>
      <c r="L270" s="2557"/>
      <c r="M270" s="2557"/>
      <c r="N270" s="1786"/>
      <c r="O270" s="1787"/>
      <c r="P270" s="1729"/>
      <c r="AM270" s="2097">
        <v>270</v>
      </c>
    </row>
    <row r="271" spans="1:39" ht="15.95" customHeight="1">
      <c r="A271" s="3302"/>
      <c r="B271" s="3303"/>
      <c r="C271" s="3303"/>
      <c r="D271" s="3303"/>
      <c r="E271" s="3303"/>
      <c r="F271" s="3303"/>
      <c r="G271" s="3303"/>
      <c r="H271" s="3303"/>
      <c r="I271" s="3303"/>
      <c r="J271" s="3303"/>
      <c r="K271" s="3303"/>
      <c r="L271" s="3303"/>
      <c r="M271" s="3303"/>
      <c r="N271" s="3303"/>
      <c r="O271" s="3303"/>
      <c r="P271" s="3304"/>
      <c r="Q271" s="1788"/>
      <c r="AM271" s="2097">
        <v>271</v>
      </c>
    </row>
    <row r="272" spans="1:39" ht="9.75" customHeight="1">
      <c r="N272" s="2553"/>
      <c r="AM272" s="2097">
        <v>272</v>
      </c>
    </row>
    <row r="273" spans="1:39" ht="9.75" customHeight="1" thickBot="1">
      <c r="N273" s="2553"/>
      <c r="AM273" s="2097">
        <v>273</v>
      </c>
    </row>
    <row r="274" spans="1:39" ht="15.95" customHeight="1" thickBot="1">
      <c r="A274" s="1748" t="s">
        <v>1556</v>
      </c>
      <c r="B274" s="1749" t="s">
        <v>1984</v>
      </c>
      <c r="E274" s="1765" t="str">
        <f>IF(AND(O274&gt;0,NOT($F$12="New Affordability"),NOT($O$12="9%")), "Ineligible, not New Affordability and 9%!","")</f>
        <v/>
      </c>
      <c r="G274" s="1897" t="str">
        <f>$O$12</f>
        <v>9%</v>
      </c>
      <c r="H274" s="1822" t="str">
        <f>$J$12</f>
        <v>Rural</v>
      </c>
      <c r="L274" s="1757" t="s">
        <v>1754</v>
      </c>
      <c r="M274" s="1729">
        <v>4</v>
      </c>
      <c r="N274" s="2559"/>
      <c r="O274" s="1758">
        <f>IF(AND($F$12="New Affordability",O275="Yes",$G$274="9%",OR($H$274="Atlanta Metro",$H$274= "Other Metro")),4,IF(AND($F$12="New Affordability",O275="Yes"),3,0))</f>
        <v>0</v>
      </c>
      <c r="P274" s="1758">
        <f>IF(AND(P275="Yes",$G$274="9%",OR($L$274="Atlanta Metro",$L$274= "Other Metro")),4,IF(P275="Yes",3,0))</f>
        <v>0</v>
      </c>
      <c r="Q274" s="1759" t="s">
        <v>787</v>
      </c>
      <c r="R274" s="1765"/>
      <c r="S274" s="1724"/>
      <c r="T274" s="1724"/>
      <c r="U274" s="1724"/>
      <c r="V274" s="1724"/>
      <c r="W274" s="1926"/>
      <c r="X274" s="1926"/>
      <c r="AM274" s="2096">
        <v>274</v>
      </c>
    </row>
    <row r="275" spans="1:39" ht="15.95" customHeight="1">
      <c r="A275" s="1927"/>
      <c r="B275" s="1777" t="s">
        <v>1985</v>
      </c>
      <c r="C275" s="1777"/>
      <c r="D275" s="1777"/>
      <c r="E275" s="1777"/>
      <c r="F275" s="1777"/>
      <c r="N275" s="1779"/>
      <c r="O275" s="1650" t="s">
        <v>1758</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1986</v>
      </c>
      <c r="H276" s="3329" t="s">
        <v>54</v>
      </c>
      <c r="I276" s="3329"/>
      <c r="J276" s="3329"/>
      <c r="K276" s="3366" t="s">
        <v>1987</v>
      </c>
      <c r="L276" s="3366"/>
      <c r="M276" s="3366"/>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1988</v>
      </c>
      <c r="G277" s="1651"/>
      <c r="H277" s="3357"/>
      <c r="I277" s="3358"/>
      <c r="J277" s="3359"/>
      <c r="K277" s="3360"/>
      <c r="L277" s="3360"/>
      <c r="M277" s="3360"/>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1989</v>
      </c>
      <c r="G278" s="1652"/>
      <c r="H278" s="3361"/>
      <c r="I278" s="3362"/>
      <c r="J278" s="3363"/>
      <c r="K278" s="3364"/>
      <c r="L278" s="3364"/>
      <c r="M278" s="3364"/>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1783</v>
      </c>
      <c r="C280" s="1727"/>
      <c r="D280" s="1727"/>
      <c r="E280" s="1727"/>
      <c r="F280" s="1727"/>
      <c r="G280" s="1727"/>
      <c r="H280" s="1727"/>
      <c r="I280" s="1727"/>
      <c r="J280" s="1727"/>
      <c r="K280" s="1727"/>
      <c r="M280" s="2559"/>
      <c r="N280" s="2553"/>
      <c r="O280" s="1738"/>
      <c r="AM280" s="2096">
        <v>280</v>
      </c>
    </row>
    <row r="281" spans="1:39" ht="15.95" customHeight="1">
      <c r="A281" s="3322" t="s">
        <v>1990</v>
      </c>
      <c r="B281" s="3323"/>
      <c r="C281" s="3323"/>
      <c r="D281" s="3323"/>
      <c r="E281" s="3323"/>
      <c r="F281" s="3323"/>
      <c r="G281" s="3323"/>
      <c r="H281" s="3323"/>
      <c r="I281" s="3323"/>
      <c r="J281" s="3323"/>
      <c r="K281" s="3323"/>
      <c r="L281" s="3323"/>
      <c r="M281" s="3323"/>
      <c r="N281" s="3323"/>
      <c r="O281" s="3323"/>
      <c r="P281" s="3324"/>
      <c r="Q281" s="1804"/>
      <c r="AM281" s="2096">
        <v>281</v>
      </c>
    </row>
    <row r="282" spans="1:39" ht="15.95" customHeight="1">
      <c r="B282" s="1783" t="s">
        <v>1437</v>
      </c>
      <c r="C282" s="1784"/>
      <c r="D282" s="1783"/>
      <c r="E282" s="1785"/>
      <c r="F282" s="2557"/>
      <c r="G282" s="2557"/>
      <c r="H282" s="2557"/>
      <c r="I282" s="2557"/>
      <c r="J282" s="2557"/>
      <c r="K282" s="2557"/>
      <c r="L282" s="2557"/>
      <c r="M282" s="2557"/>
      <c r="N282" s="1786"/>
      <c r="O282" s="1787"/>
      <c r="P282" s="1729"/>
      <c r="AM282" s="2097">
        <v>282</v>
      </c>
    </row>
    <row r="283" spans="1:39" ht="15.95" customHeight="1">
      <c r="A283" s="3302"/>
      <c r="B283" s="3303"/>
      <c r="C283" s="3303"/>
      <c r="D283" s="3303"/>
      <c r="E283" s="3303"/>
      <c r="F283" s="3303"/>
      <c r="G283" s="3303"/>
      <c r="H283" s="3303"/>
      <c r="I283" s="3303"/>
      <c r="J283" s="3303"/>
      <c r="K283" s="3303"/>
      <c r="L283" s="3303"/>
      <c r="M283" s="3303"/>
      <c r="N283" s="3303"/>
      <c r="O283" s="3303"/>
      <c r="P283" s="3304"/>
      <c r="Q283" s="1788"/>
      <c r="AM283" s="2097">
        <v>283</v>
      </c>
    </row>
    <row r="284" spans="1:39" ht="9.75" customHeight="1">
      <c r="N284" s="2553"/>
      <c r="AM284" s="2097">
        <v>284</v>
      </c>
    </row>
    <row r="285" spans="1:39" ht="9.75" customHeight="1" thickBot="1">
      <c r="N285" s="2553"/>
      <c r="AM285" s="2096">
        <v>285</v>
      </c>
    </row>
    <row r="286" spans="1:39" ht="15.95" customHeight="1" thickBot="1">
      <c r="A286" s="1748" t="s">
        <v>1566</v>
      </c>
      <c r="B286" s="1749" t="s">
        <v>1991</v>
      </c>
      <c r="G286" s="1760"/>
      <c r="I286" s="1790" t="str">
        <f>IF($O$274&gt;0,"Points already claimed in another restricted section!","")</f>
        <v/>
      </c>
      <c r="K286" s="1925" t="str">
        <f>IF(AND(SUM(O288,O291,O294)&gt;0,NOT($F$12="New Affordability"),NOT($O$12="9%")), "Not 9% New Affordability!","")</f>
        <v/>
      </c>
      <c r="L286" s="1757" t="s">
        <v>1754</v>
      </c>
      <c r="M286" s="1729">
        <v>5</v>
      </c>
      <c r="N286" s="2559"/>
      <c r="O286" s="1758">
        <f>IF(AND(O274=0,$F$12="New Affordability",$O$12="9%"),MIN($M286,MAX(O288,O291,O294)),0)</f>
        <v>3</v>
      </c>
      <c r="P286" s="1758">
        <f>IF(AND(P274=0,$H$12="New Affordability",$O$12="9%"),MIN($M286,MAX(P288,P291,P294)),0)</f>
        <v>0</v>
      </c>
      <c r="Q286" s="1759" t="s">
        <v>787</v>
      </c>
      <c r="R286" s="1765"/>
      <c r="S286" s="1724"/>
      <c r="T286" s="1724"/>
      <c r="U286" s="1724"/>
      <c r="V286" s="1724"/>
      <c r="W286" s="1926"/>
      <c r="X286" s="1926"/>
      <c r="AM286" s="2096">
        <v>286</v>
      </c>
    </row>
    <row r="287" spans="1:39" ht="15" customHeight="1">
      <c r="B287" s="1726" t="s">
        <v>1992</v>
      </c>
      <c r="N287" s="2553"/>
      <c r="AM287" s="2097">
        <v>287</v>
      </c>
    </row>
    <row r="288" spans="1:39" s="1727" customFormat="1" ht="15.95" customHeight="1">
      <c r="A288" s="1729" t="s">
        <v>199</v>
      </c>
      <c r="B288" s="1736" t="s">
        <v>1993</v>
      </c>
      <c r="L288" s="1823" t="s">
        <v>1754</v>
      </c>
      <c r="M288" s="2559">
        <v>5</v>
      </c>
      <c r="N288" s="1762"/>
      <c r="O288" s="1642"/>
      <c r="P288" s="1889"/>
      <c r="Q288" s="1764" t="str">
        <f>IF(OR($O288&lt;=$M288,$O288=""),"","*CHECK!*")</f>
        <v/>
      </c>
      <c r="R288" s="1765"/>
      <c r="S288" s="1724"/>
      <c r="T288" s="1724"/>
      <c r="U288" s="1724"/>
      <c r="V288" s="1724"/>
      <c r="AM288" s="2096">
        <v>288</v>
      </c>
    </row>
    <row r="289" spans="1:39" ht="15.75" customHeight="1">
      <c r="C289" s="1726" t="s">
        <v>1994</v>
      </c>
      <c r="N289" s="2553"/>
      <c r="O289" s="1646"/>
      <c r="P289" s="1849"/>
      <c r="AM289" s="2096">
        <v>289</v>
      </c>
    </row>
    <row r="290" spans="1:39" ht="15.75" customHeight="1">
      <c r="C290" s="1726" t="s">
        <v>1995</v>
      </c>
      <c r="N290" s="2553"/>
      <c r="O290" s="1650" t="s">
        <v>1758</v>
      </c>
      <c r="P290" s="1850"/>
      <c r="AM290" s="2097">
        <v>290</v>
      </c>
    </row>
    <row r="291" spans="1:39" s="1727" customFormat="1" ht="15.95" customHeight="1">
      <c r="A291" s="1729" t="s">
        <v>211</v>
      </c>
      <c r="B291" s="1736" t="s">
        <v>1996</v>
      </c>
      <c r="L291" s="1823" t="s">
        <v>1754</v>
      </c>
      <c r="M291" s="2559">
        <v>3</v>
      </c>
      <c r="N291" s="1762"/>
      <c r="O291" s="1644"/>
      <c r="P291" s="1840"/>
      <c r="Q291" s="1764" t="str">
        <f>IF(OR($O291&lt;=$M291,$O291=""),"","*CHECK!*")</f>
        <v/>
      </c>
      <c r="R291" s="1765"/>
      <c r="AM291" s="2097">
        <v>291</v>
      </c>
    </row>
    <row r="292" spans="1:39" ht="15.75" customHeight="1">
      <c r="C292" s="1726" t="s">
        <v>1997</v>
      </c>
      <c r="N292" s="2553"/>
      <c r="O292" s="1723"/>
      <c r="P292" s="1838"/>
      <c r="AM292" s="2097">
        <v>292</v>
      </c>
    </row>
    <row r="293" spans="1:39" ht="15" customHeight="1">
      <c r="C293" s="1726" t="s">
        <v>1998</v>
      </c>
      <c r="N293" s="2553"/>
      <c r="O293" s="1650" t="s">
        <v>1758</v>
      </c>
      <c r="P293" s="1852"/>
      <c r="AM293" s="2097">
        <v>293</v>
      </c>
    </row>
    <row r="294" spans="1:39" ht="15.95" customHeight="1">
      <c r="A294" s="1729" t="s">
        <v>232</v>
      </c>
      <c r="B294" s="1736" t="s">
        <v>1999</v>
      </c>
      <c r="G294" s="1756"/>
      <c r="I294" s="1760"/>
      <c r="L294" s="1823" t="s">
        <v>1754</v>
      </c>
      <c r="M294" s="2559">
        <v>3</v>
      </c>
      <c r="N294" s="1762"/>
      <c r="O294" s="1646">
        <v>3</v>
      </c>
      <c r="P294" s="1849"/>
      <c r="Q294" s="1764" t="str">
        <f>IF(OR($O294&lt;=$M294,$O294=""),"","*CHECK!*")</f>
        <v/>
      </c>
      <c r="R294" s="1765"/>
      <c r="AM294" s="2096">
        <v>294</v>
      </c>
    </row>
    <row r="295" spans="1:39" ht="15.75" customHeight="1">
      <c r="C295" s="1726" t="s">
        <v>2000</v>
      </c>
      <c r="N295" s="2553"/>
      <c r="O295" s="1717">
        <v>2.3600000000000001E-3</v>
      </c>
      <c r="P295" s="1718"/>
      <c r="AM295" s="2097">
        <v>295</v>
      </c>
    </row>
    <row r="296" spans="1:39" ht="9.75" customHeight="1">
      <c r="N296" s="2553"/>
      <c r="AM296" s="2096">
        <v>296</v>
      </c>
    </row>
    <row r="297" spans="1:39" ht="15.95" customHeight="1">
      <c r="A297" s="1727"/>
      <c r="B297" s="1747" t="s">
        <v>1783</v>
      </c>
      <c r="C297" s="1727"/>
      <c r="D297" s="1727"/>
      <c r="E297" s="1727"/>
      <c r="F297" s="1727"/>
      <c r="G297" s="1727"/>
      <c r="H297" s="1727"/>
      <c r="I297" s="1727"/>
      <c r="J297" s="1727"/>
      <c r="K297" s="1727"/>
      <c r="M297" s="2559"/>
      <c r="N297" s="2553"/>
      <c r="O297" s="1738"/>
      <c r="AM297" s="2096">
        <v>297</v>
      </c>
    </row>
    <row r="298" spans="1:39" ht="30.95" customHeight="1">
      <c r="A298" s="3322" t="s">
        <v>2001</v>
      </c>
      <c r="B298" s="3323"/>
      <c r="C298" s="3323"/>
      <c r="D298" s="3323"/>
      <c r="E298" s="3323"/>
      <c r="F298" s="3323"/>
      <c r="G298" s="3323"/>
      <c r="H298" s="3323"/>
      <c r="I298" s="3323"/>
      <c r="J298" s="3323"/>
      <c r="K298" s="3323"/>
      <c r="L298" s="3323"/>
      <c r="M298" s="3323"/>
      <c r="N298" s="3323"/>
      <c r="O298" s="3323"/>
      <c r="P298" s="3324"/>
      <c r="Q298" s="1804"/>
      <c r="AM298" s="2096">
        <v>298</v>
      </c>
    </row>
    <row r="299" spans="1:39" ht="15.95" customHeight="1">
      <c r="B299" s="1783" t="s">
        <v>1437</v>
      </c>
      <c r="C299" s="1784"/>
      <c r="D299" s="1783"/>
      <c r="E299" s="1785"/>
      <c r="F299" s="2557"/>
      <c r="G299" s="2557"/>
      <c r="H299" s="2557"/>
      <c r="I299" s="2557"/>
      <c r="J299" s="2557"/>
      <c r="K299" s="2557"/>
      <c r="L299" s="2557"/>
      <c r="M299" s="2557"/>
      <c r="N299" s="1786"/>
      <c r="O299" s="1787"/>
      <c r="P299" s="1729"/>
      <c r="AM299" s="2096">
        <v>299</v>
      </c>
    </row>
    <row r="300" spans="1:39" ht="15.95" customHeight="1">
      <c r="A300" s="3302"/>
      <c r="B300" s="3303"/>
      <c r="C300" s="3303"/>
      <c r="D300" s="3303"/>
      <c r="E300" s="3303"/>
      <c r="F300" s="3303"/>
      <c r="G300" s="3303"/>
      <c r="H300" s="3303"/>
      <c r="I300" s="3303"/>
      <c r="J300" s="3303"/>
      <c r="K300" s="3303"/>
      <c r="L300" s="3303"/>
      <c r="M300" s="3303"/>
      <c r="N300" s="3303"/>
      <c r="O300" s="3303"/>
      <c r="P300" s="3304"/>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1577</v>
      </c>
      <c r="B303" s="1749" t="s">
        <v>2002</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1754</v>
      </c>
      <c r="M303" s="1729">
        <v>10</v>
      </c>
      <c r="N303" s="2559"/>
      <c r="O303" s="1758">
        <f>IF(OR($J$12="Atlanta Metro",O$206&gt;0,O$238&gt;0,O$265&gt;0),0,IF(AND($F$12="New Affordability",$O$12="9%",O309+O310&lt;=$M303),O309+O310,0))</f>
        <v>0</v>
      </c>
      <c r="P303" s="1758">
        <f>IF(AND($H$12="New Affordability",NOT($L$12="Atlanta Metro"),$O$12="9%",P309+P310&lt;=$M303),P309+P310,0)</f>
        <v>0</v>
      </c>
      <c r="Q303" s="1759" t="s">
        <v>787</v>
      </c>
      <c r="R303" s="2051" t="s">
        <v>1923</v>
      </c>
      <c r="S303" s="1724"/>
      <c r="T303" s="1724"/>
      <c r="U303" s="1724"/>
      <c r="V303" s="2052" t="str">
        <f>$C$16</f>
        <v>Stable Communities</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2003</v>
      </c>
      <c r="D305" s="1909"/>
      <c r="E305" s="1909"/>
      <c r="F305" s="1910"/>
      <c r="G305" s="1910"/>
      <c r="H305" s="1910"/>
      <c r="I305" s="1910"/>
      <c r="J305" s="1911" t="s">
        <v>1745</v>
      </c>
      <c r="K305" s="1912" t="s">
        <v>774</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2004</v>
      </c>
      <c r="E306" s="1749"/>
      <c r="J306" s="1915">
        <f>MAX(O206,O212+O222+O229)</f>
        <v>0</v>
      </c>
      <c r="K306" s="1916">
        <f>MAX(P206,P212+P222+P229)</f>
        <v>0</v>
      </c>
      <c r="L306" s="1917"/>
      <c r="M306" s="3354" t="str">
        <f>$J$12</f>
        <v>Rural</v>
      </c>
      <c r="N306" s="3355"/>
      <c r="O306" s="3355"/>
      <c r="P306" s="3355"/>
      <c r="Q306" s="1759"/>
      <c r="R306" s="1765"/>
      <c r="S306" s="1724"/>
      <c r="T306" s="1724"/>
      <c r="U306" s="1724"/>
      <c r="V306" s="1726"/>
      <c r="W306" s="1726"/>
      <c r="X306" s="1726"/>
      <c r="AM306" s="2096">
        <v>306</v>
      </c>
    </row>
    <row r="307" spans="1:48" s="1727" customFormat="1" ht="15.95" customHeight="1">
      <c r="A307" s="1748"/>
      <c r="B307" s="1749"/>
      <c r="C307" s="1914"/>
      <c r="D307" s="1727" t="s">
        <v>1750</v>
      </c>
      <c r="E307" s="1749"/>
      <c r="J307" s="1918">
        <f>MAX($J$251,$O$238)</f>
        <v>10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199</v>
      </c>
      <c r="B309" s="1796" t="s">
        <v>2005</v>
      </c>
      <c r="D309" s="1776"/>
      <c r="E309" s="1776"/>
      <c r="F309" s="1776"/>
      <c r="G309" s="1776"/>
      <c r="H309" s="1776"/>
      <c r="L309" s="1761" t="str">
        <f t="shared" ref="L309:L310" si="9">IF(OR($O309=$M309,$O309=0,$O309=""),"","* * Check Score! * *")</f>
        <v/>
      </c>
      <c r="M309" s="2554">
        <v>5</v>
      </c>
      <c r="N309" s="1762"/>
      <c r="O309" s="1642"/>
      <c r="P309" s="1889"/>
      <c r="Q309" s="2564"/>
      <c r="R309" s="1724"/>
      <c r="S309" s="1724"/>
      <c r="T309" s="1724"/>
      <c r="U309" s="1724"/>
      <c r="V309" s="1724"/>
      <c r="AM309" s="2096">
        <v>309</v>
      </c>
    </row>
    <row r="310" spans="1:48" ht="15.95" customHeight="1">
      <c r="A310" s="1729" t="s">
        <v>211</v>
      </c>
      <c r="B310" s="1796" t="s">
        <v>2006</v>
      </c>
      <c r="D310" s="1776"/>
      <c r="J310" s="1929" t="str">
        <f>IF(AND(O309=$M309,OR((O207+O222+O229)&gt;=5,J251&gt;=5)),"Eligible","Currently not eligible")</f>
        <v>Currently not eligible</v>
      </c>
      <c r="L310" s="1761" t="e">
        <f t="shared" si="9"/>
        <v>#VALUE!</v>
      </c>
      <c r="M310" s="255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1783</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2" t="s">
        <v>1983</v>
      </c>
      <c r="B312" s="3323"/>
      <c r="C312" s="3323"/>
      <c r="D312" s="3323"/>
      <c r="E312" s="3323"/>
      <c r="F312" s="3323"/>
      <c r="G312" s="3323"/>
      <c r="H312" s="3323"/>
      <c r="I312" s="3323"/>
      <c r="J312" s="3323"/>
      <c r="K312" s="3323"/>
      <c r="L312" s="3323"/>
      <c r="M312" s="3323"/>
      <c r="N312" s="3323"/>
      <c r="O312" s="3323"/>
      <c r="P312" s="3324"/>
      <c r="Q312" s="1804"/>
      <c r="AM312" s="2097">
        <v>312</v>
      </c>
    </row>
    <row r="313" spans="1:48" ht="15.95" customHeight="1">
      <c r="A313" s="1727"/>
      <c r="B313" s="1783" t="s">
        <v>1437</v>
      </c>
      <c r="C313" s="1727"/>
      <c r="D313" s="1783"/>
      <c r="E313" s="2557"/>
      <c r="F313" s="2557"/>
      <c r="G313" s="2557"/>
      <c r="H313" s="2557"/>
      <c r="I313" s="2557"/>
      <c r="J313" s="2557"/>
      <c r="K313" s="2557"/>
      <c r="L313" s="2557"/>
      <c r="M313" s="2557"/>
      <c r="N313" s="1786"/>
      <c r="O313" s="1787"/>
      <c r="P313" s="1729"/>
      <c r="AM313" s="2097">
        <v>313</v>
      </c>
    </row>
    <row r="314" spans="1:48" ht="15.95" customHeight="1">
      <c r="A314" s="3302"/>
      <c r="B314" s="3303"/>
      <c r="C314" s="3303"/>
      <c r="D314" s="3303"/>
      <c r="E314" s="3303"/>
      <c r="F314" s="3303"/>
      <c r="G314" s="3303"/>
      <c r="H314" s="3303"/>
      <c r="I314" s="3303"/>
      <c r="J314" s="3303"/>
      <c r="K314" s="3303"/>
      <c r="L314" s="3303"/>
      <c r="M314" s="3303"/>
      <c r="N314" s="3303"/>
      <c r="O314" s="3303"/>
      <c r="P314" s="3304"/>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1590</v>
      </c>
      <c r="B317" s="1749" t="s">
        <v>2007</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9"/>
      <c r="O317" s="1677">
        <v>1</v>
      </c>
      <c r="P317" s="1894"/>
      <c r="Q317" s="1759" t="s">
        <v>787</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2008</v>
      </c>
      <c r="D319" s="1749"/>
      <c r="E319" s="1749"/>
      <c r="L319" s="3356" t="s">
        <v>2009</v>
      </c>
      <c r="M319" s="3356"/>
      <c r="O319" s="3356" t="s">
        <v>2010</v>
      </c>
      <c r="P319" s="3356"/>
      <c r="Q319" s="1759"/>
      <c r="R319" s="1724"/>
      <c r="S319" s="1724"/>
      <c r="T319" s="1724"/>
      <c r="U319" s="1724"/>
      <c r="V319" s="1724"/>
      <c r="W319" s="1726"/>
      <c r="X319" s="1726"/>
      <c r="AM319" s="2097">
        <v>319</v>
      </c>
    </row>
    <row r="320" spans="1:48" s="1727" customFormat="1" ht="15.95" customHeight="1">
      <c r="A320" s="1748"/>
      <c r="C320" s="1727" t="s">
        <v>2011</v>
      </c>
      <c r="D320" s="1749"/>
      <c r="E320" s="1749"/>
      <c r="F320" s="1727" t="s">
        <v>249</v>
      </c>
      <c r="I320" s="1727" t="s">
        <v>58</v>
      </c>
      <c r="K320" s="2559" t="s">
        <v>2012</v>
      </c>
      <c r="L320" s="3356"/>
      <c r="M320" s="3356"/>
      <c r="O320" s="3356"/>
      <c r="P320" s="3356"/>
      <c r="Q320" s="1759"/>
      <c r="R320" s="1724"/>
      <c r="S320" s="1724"/>
      <c r="T320" s="1724"/>
      <c r="U320" s="1724"/>
      <c r="V320" s="1724"/>
      <c r="W320" s="1726"/>
      <c r="X320" s="1726"/>
      <c r="AM320" s="2096">
        <v>320</v>
      </c>
      <c r="AV320" s="1914"/>
    </row>
    <row r="321" spans="1:39" s="1727" customFormat="1" ht="15.95" customHeight="1">
      <c r="A321" s="1748"/>
      <c r="B321" s="1902" t="s">
        <v>214</v>
      </c>
      <c r="C321" s="3350" t="s">
        <v>2013</v>
      </c>
      <c r="D321" s="3350"/>
      <c r="E321" s="3350"/>
      <c r="F321" s="3350" t="s">
        <v>2014</v>
      </c>
      <c r="G321" s="3350"/>
      <c r="H321" s="3350"/>
      <c r="I321" s="3351" t="s">
        <v>2015</v>
      </c>
      <c r="J321" s="3351"/>
      <c r="K321" s="1994">
        <v>28906</v>
      </c>
      <c r="L321" s="3352">
        <v>29.9</v>
      </c>
      <c r="M321" s="3352"/>
      <c r="N321" s="1899"/>
      <c r="O321" s="3353">
        <v>100</v>
      </c>
      <c r="P321" s="3353"/>
      <c r="Q321" s="1759"/>
      <c r="R321" s="1724"/>
      <c r="S321" s="1724"/>
      <c r="T321" s="1724"/>
      <c r="U321" s="1724"/>
      <c r="V321" s="1724"/>
      <c r="W321" s="1726"/>
      <c r="X321" s="1726"/>
      <c r="AM321" s="2097">
        <v>321</v>
      </c>
    </row>
    <row r="322" spans="1:39" s="1727" customFormat="1" ht="15.95" customHeight="1">
      <c r="A322" s="1748"/>
      <c r="B322" s="1766" t="s">
        <v>222</v>
      </c>
      <c r="C322" s="3342" t="s">
        <v>2016</v>
      </c>
      <c r="D322" s="3342"/>
      <c r="E322" s="3342"/>
      <c r="F322" s="3342" t="s">
        <v>1774</v>
      </c>
      <c r="G322" s="3342"/>
      <c r="H322" s="3342"/>
      <c r="I322" s="3343" t="s">
        <v>2017</v>
      </c>
      <c r="J322" s="3343"/>
      <c r="K322" s="1995">
        <v>30513</v>
      </c>
      <c r="L322" s="3344" t="s">
        <v>2018</v>
      </c>
      <c r="M322" s="3344"/>
      <c r="N322" s="1899"/>
      <c r="O322" s="3345">
        <v>400</v>
      </c>
      <c r="P322" s="3345"/>
      <c r="Q322" s="1759"/>
      <c r="R322" s="1724"/>
      <c r="S322" s="1724"/>
      <c r="T322" s="1724"/>
      <c r="U322" s="1724"/>
      <c r="V322" s="1724"/>
      <c r="W322" s="1726"/>
      <c r="X322" s="1726"/>
      <c r="AM322" s="2096">
        <v>322</v>
      </c>
    </row>
    <row r="323" spans="1:39" s="1727" customFormat="1" ht="15.95" customHeight="1">
      <c r="A323" s="1748"/>
      <c r="B323" s="1766" t="s">
        <v>226</v>
      </c>
      <c r="C323" s="3342" t="s">
        <v>2019</v>
      </c>
      <c r="D323" s="3342"/>
      <c r="E323" s="3342"/>
      <c r="F323" s="3342" t="s">
        <v>2020</v>
      </c>
      <c r="G323" s="3342"/>
      <c r="H323" s="3342"/>
      <c r="I323" s="3343" t="s">
        <v>2021</v>
      </c>
      <c r="J323" s="3343"/>
      <c r="K323" s="1995">
        <v>30512</v>
      </c>
      <c r="L323" s="3344">
        <v>23.5</v>
      </c>
      <c r="M323" s="3344"/>
      <c r="N323" s="1899"/>
      <c r="O323" s="3345">
        <v>40</v>
      </c>
      <c r="P323" s="3345"/>
      <c r="Q323" s="1759"/>
      <c r="R323" s="1724"/>
      <c r="S323" s="1724"/>
      <c r="T323" s="1724"/>
      <c r="U323" s="1724"/>
      <c r="V323" s="1724"/>
      <c r="W323" s="1726"/>
      <c r="X323" s="1726"/>
      <c r="AM323" s="2096">
        <v>323</v>
      </c>
    </row>
    <row r="324" spans="1:39" s="1727" customFormat="1" ht="15.95" customHeight="1">
      <c r="A324" s="1748"/>
      <c r="B324" s="1766" t="s">
        <v>266</v>
      </c>
      <c r="C324" s="3346"/>
      <c r="D324" s="3346"/>
      <c r="E324" s="3346"/>
      <c r="F324" s="3346"/>
      <c r="G324" s="3346"/>
      <c r="H324" s="3346"/>
      <c r="I324" s="3347"/>
      <c r="J324" s="3347"/>
      <c r="K324" s="1996"/>
      <c r="L324" s="3348"/>
      <c r="M324" s="3348"/>
      <c r="N324" s="1899"/>
      <c r="O324" s="3349"/>
      <c r="P324" s="3349"/>
      <c r="Q324" s="1759"/>
      <c r="R324" s="1724"/>
      <c r="S324" s="1724"/>
      <c r="T324" s="1724"/>
      <c r="U324" s="1724"/>
      <c r="V324" s="1724"/>
      <c r="W324" s="1726"/>
      <c r="X324" s="1726"/>
      <c r="AM324" s="2096">
        <v>324</v>
      </c>
    </row>
    <row r="325" spans="1:39" ht="15.95" customHeight="1">
      <c r="A325" s="1727"/>
      <c r="B325" s="1747" t="s">
        <v>1783</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54.95" customHeight="1">
      <c r="A326" s="3322" t="s">
        <v>2022</v>
      </c>
      <c r="B326" s="3323"/>
      <c r="C326" s="3323"/>
      <c r="D326" s="3323"/>
      <c r="E326" s="3323"/>
      <c r="F326" s="3323"/>
      <c r="G326" s="3323"/>
      <c r="H326" s="3323"/>
      <c r="I326" s="3323"/>
      <c r="J326" s="3323"/>
      <c r="K326" s="3323"/>
      <c r="L326" s="3323"/>
      <c r="M326" s="3323"/>
      <c r="N326" s="3323"/>
      <c r="O326" s="3323"/>
      <c r="P326" s="3324"/>
      <c r="Q326" s="1804"/>
      <c r="AM326" s="2096">
        <v>326</v>
      </c>
    </row>
    <row r="327" spans="1:39" ht="15.95" customHeight="1">
      <c r="A327" s="1727"/>
      <c r="B327" s="1783" t="s">
        <v>1437</v>
      </c>
      <c r="C327" s="1727"/>
      <c r="D327" s="1783"/>
      <c r="E327" s="2557"/>
      <c r="F327" s="2557"/>
      <c r="G327" s="2557"/>
      <c r="H327" s="2557"/>
      <c r="I327" s="2557"/>
      <c r="J327" s="2557"/>
      <c r="K327" s="2557"/>
      <c r="L327" s="2557"/>
      <c r="M327" s="2557"/>
      <c r="N327" s="1786"/>
      <c r="O327" s="1787"/>
      <c r="P327" s="1729"/>
      <c r="AM327" s="2096">
        <v>327</v>
      </c>
    </row>
    <row r="328" spans="1:39" ht="15.95" customHeight="1">
      <c r="A328" s="3302"/>
      <c r="B328" s="3303"/>
      <c r="C328" s="3303"/>
      <c r="D328" s="3303"/>
      <c r="E328" s="3303"/>
      <c r="F328" s="3303"/>
      <c r="G328" s="3303"/>
      <c r="H328" s="3303"/>
      <c r="I328" s="3303"/>
      <c r="J328" s="3303"/>
      <c r="K328" s="3303"/>
      <c r="L328" s="3303"/>
      <c r="M328" s="3303"/>
      <c r="N328" s="3303"/>
      <c r="O328" s="3303"/>
      <c r="P328" s="3304"/>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1595</v>
      </c>
      <c r="B331" s="1834" t="s">
        <v>2023</v>
      </c>
      <c r="M331" s="1729">
        <v>1</v>
      </c>
      <c r="N331" s="2553"/>
      <c r="O331" s="1758">
        <f>IF(AND($F$12="New Affordability",$O$12="9%"),IF(O332+O333&gt;$M331,"Choose",MIN($M331,SUM(O332:O333))),0)</f>
        <v>1</v>
      </c>
      <c r="P331" s="1758">
        <f>IF(AND($H$12="New Affordability",$O$12="9%"),IF(P332+P333&gt;$M331,"Choose",MIN($M331,SUM(P332:P333))),0)</f>
        <v>0</v>
      </c>
      <c r="Q331" s="1759" t="s">
        <v>787</v>
      </c>
      <c r="R331" s="1765" t="str">
        <f>IF(AND(O331&gt;0,NOT($F$12="New Affordability")), "Ineligible to score in this section, not New Affordability!","")</f>
        <v/>
      </c>
      <c r="AM331" s="2096">
        <v>331</v>
      </c>
    </row>
    <row r="332" spans="1:39" ht="15.95" customHeight="1">
      <c r="A332" s="1729" t="s">
        <v>199</v>
      </c>
      <c r="B332" s="1805" t="s">
        <v>2024</v>
      </c>
      <c r="G332" s="1826" t="s">
        <v>2025</v>
      </c>
      <c r="H332" s="1930">
        <f>IF('Part V-Revenues &amp; Expenses'!$P$67=0,0,'Part V-Revenues &amp; Expenses'!$P$64/'Part V-Revenues &amp; Expenses'!$P$67)</f>
        <v>0.1</v>
      </c>
      <c r="L332" s="1761" t="str">
        <f t="shared" ref="L332:L333" si="11">IF(OR($O332=$M332,$O332=0,$O332=""),"","* * Check Score! * *")</f>
        <v/>
      </c>
      <c r="M332" s="2559">
        <v>1</v>
      </c>
      <c r="N332" s="1762"/>
      <c r="O332" s="1646">
        <v>1</v>
      </c>
      <c r="P332" s="1849"/>
      <c r="Q332" s="1764" t="str">
        <f>IF(OR($O332=$M332,$O332=0,$O332=""),"","*CHECK!*")</f>
        <v/>
      </c>
      <c r="R332" s="1765"/>
      <c r="AM332" s="2096">
        <v>332</v>
      </c>
    </row>
    <row r="333" spans="1:39" ht="15.95" customHeight="1">
      <c r="A333" s="1729" t="s">
        <v>211</v>
      </c>
      <c r="B333" s="1805" t="s">
        <v>1870</v>
      </c>
      <c r="G333" s="3340" t="str">
        <f>'Part V-Revenues &amp; Expenses'!$O$53</f>
        <v>40% of Units at 60% of AMI</v>
      </c>
      <c r="H333" s="3341"/>
      <c r="L333" s="1761" t="str">
        <f t="shared" si="11"/>
        <v/>
      </c>
      <c r="M333" s="2553">
        <v>1</v>
      </c>
      <c r="N333" s="1762"/>
      <c r="O333" s="1635"/>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1437</v>
      </c>
      <c r="C335" s="1727"/>
      <c r="D335" s="1783"/>
      <c r="E335" s="2557"/>
      <c r="F335" s="2557"/>
      <c r="G335" s="2557"/>
      <c r="H335" s="2557"/>
      <c r="I335" s="2557"/>
      <c r="J335" s="2557"/>
      <c r="K335" s="2557"/>
      <c r="L335" s="2557"/>
      <c r="M335" s="2557"/>
      <c r="N335" s="1786"/>
      <c r="O335" s="1787"/>
      <c r="P335" s="1729"/>
      <c r="AM335" s="2096">
        <v>335</v>
      </c>
    </row>
    <row r="336" spans="1:39" ht="15.95" customHeight="1">
      <c r="A336" s="3302"/>
      <c r="B336" s="3303"/>
      <c r="C336" s="3303"/>
      <c r="D336" s="3303"/>
      <c r="E336" s="3303"/>
      <c r="F336" s="3303"/>
      <c r="G336" s="3303"/>
      <c r="H336" s="3303"/>
      <c r="I336" s="3303"/>
      <c r="J336" s="3303"/>
      <c r="K336" s="3303"/>
      <c r="L336" s="3303"/>
      <c r="M336" s="3303"/>
      <c r="N336" s="3303"/>
      <c r="O336" s="3303"/>
      <c r="P336" s="3304"/>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1601</v>
      </c>
      <c r="B339" s="1749" t="s">
        <v>2026</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787</v>
      </c>
      <c r="R339" s="1765" t="str">
        <f>IF(AND(O339&gt;0,NOT($F$12="New Affordability")), "Ineligible to score in this section, not New Affordability!","")</f>
        <v/>
      </c>
      <c r="AM339" s="2097">
        <v>339</v>
      </c>
    </row>
    <row r="340" spans="1:39" s="1777" customFormat="1" ht="15.95" customHeight="1">
      <c r="A340" s="1834"/>
      <c r="E340" s="1924" t="s">
        <v>2027</v>
      </c>
      <c r="G340" s="3337" t="s">
        <v>2028</v>
      </c>
      <c r="H340" s="3338"/>
      <c r="I340" s="3338"/>
      <c r="J340" s="3338"/>
      <c r="K340" s="3338"/>
      <c r="L340" s="3339"/>
      <c r="M340" s="1778"/>
      <c r="N340" s="1778"/>
      <c r="O340" s="1778"/>
      <c r="P340" s="1778"/>
      <c r="Q340" s="1727"/>
      <c r="AM340" s="2096">
        <v>340</v>
      </c>
    </row>
    <row r="341" spans="1:39" s="1777" customFormat="1" ht="15.95" customHeight="1">
      <c r="A341" s="1808" t="s">
        <v>199</v>
      </c>
      <c r="B341" s="1736" t="s">
        <v>2029</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08" t="s">
        <v>2030</v>
      </c>
      <c r="C342" s="3309"/>
      <c r="D342" s="3309"/>
      <c r="E342" s="3309"/>
      <c r="F342" s="3309"/>
      <c r="G342" s="3309"/>
      <c r="H342" s="3309"/>
      <c r="I342" s="3309"/>
      <c r="J342" s="3309"/>
      <c r="K342" s="3309"/>
      <c r="L342" s="3309"/>
      <c r="M342" s="3309"/>
      <c r="N342" s="3309"/>
      <c r="O342" s="3309"/>
      <c r="P342" s="3310"/>
      <c r="Q342" s="1788"/>
      <c r="R342" s="1804"/>
      <c r="S342" s="1804"/>
      <c r="AM342" s="2096">
        <v>342</v>
      </c>
    </row>
    <row r="343" spans="1:39" s="1777" customFormat="1" ht="15.95" customHeight="1">
      <c r="A343" s="1927" t="s">
        <v>211</v>
      </c>
      <c r="B343" s="1884" t="s">
        <v>2031</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1783</v>
      </c>
      <c r="C344" s="1727"/>
      <c r="D344" s="1727"/>
      <c r="E344" s="1727"/>
      <c r="F344" s="1727"/>
      <c r="G344" s="1727"/>
      <c r="H344" s="1727"/>
      <c r="I344" s="1727"/>
      <c r="J344" s="1727"/>
      <c r="K344" s="1727"/>
      <c r="M344" s="2559"/>
      <c r="N344" s="2553"/>
      <c r="O344" s="1738"/>
      <c r="AM344" s="2096">
        <v>344</v>
      </c>
    </row>
    <row r="345" spans="1:39" ht="15.95" customHeight="1">
      <c r="A345" s="3322" t="s">
        <v>1983</v>
      </c>
      <c r="B345" s="3323"/>
      <c r="C345" s="3323"/>
      <c r="D345" s="3323"/>
      <c r="E345" s="3323"/>
      <c r="F345" s="3323"/>
      <c r="G345" s="3323"/>
      <c r="H345" s="3323"/>
      <c r="I345" s="3323"/>
      <c r="J345" s="3323"/>
      <c r="K345" s="3323"/>
      <c r="L345" s="3323"/>
      <c r="M345" s="3323"/>
      <c r="N345" s="3323"/>
      <c r="O345" s="3323"/>
      <c r="P345" s="3324"/>
      <c r="Q345" s="1804"/>
      <c r="R345" s="1804"/>
      <c r="AM345" s="2096">
        <v>345</v>
      </c>
    </row>
    <row r="346" spans="1:39" ht="15.95" customHeight="1">
      <c r="B346" s="1783" t="s">
        <v>1437</v>
      </c>
      <c r="C346" s="1784"/>
      <c r="D346" s="1783"/>
      <c r="E346" s="1785"/>
      <c r="F346" s="2557"/>
      <c r="G346" s="2557"/>
      <c r="H346" s="2557"/>
      <c r="I346" s="2557"/>
      <c r="J346" s="2557"/>
      <c r="K346" s="2557"/>
      <c r="L346" s="2557"/>
      <c r="M346" s="2557"/>
      <c r="N346" s="1786"/>
      <c r="O346" s="1787"/>
      <c r="P346" s="1729"/>
      <c r="AM346" s="2097">
        <v>346</v>
      </c>
    </row>
    <row r="347" spans="1:39" ht="15.95" customHeight="1">
      <c r="A347" s="3302"/>
      <c r="B347" s="3303"/>
      <c r="C347" s="3303"/>
      <c r="D347" s="3303"/>
      <c r="E347" s="3303"/>
      <c r="F347" s="3303"/>
      <c r="G347" s="3303"/>
      <c r="H347" s="3303"/>
      <c r="I347" s="3303"/>
      <c r="J347" s="3303"/>
      <c r="K347" s="3303"/>
      <c r="L347" s="3303"/>
      <c r="M347" s="3303"/>
      <c r="N347" s="3303"/>
      <c r="O347" s="3303"/>
      <c r="P347" s="3304"/>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1608</v>
      </c>
      <c r="B350" s="1749" t="s">
        <v>2032</v>
      </c>
      <c r="D350" s="1749"/>
      <c r="E350" s="1749"/>
      <c r="G350" s="1789"/>
      <c r="M350" s="1729">
        <v>2</v>
      </c>
      <c r="N350" s="2559"/>
      <c r="O350" s="1758">
        <f>IF($O$12="9%",IF(OR(O351=$M351,O352=$M352),$M$350,0),0)</f>
        <v>2</v>
      </c>
      <c r="P350" s="1758">
        <f>IF($O$12="9%",IF(OR(P351=$M351,P352=$M352),$M$350,0),0)</f>
        <v>0</v>
      </c>
      <c r="Q350" s="1759" t="s">
        <v>787</v>
      </c>
      <c r="R350" s="1724"/>
      <c r="S350" s="1724"/>
      <c r="T350" s="1724"/>
      <c r="U350" s="1724"/>
      <c r="V350" s="1724"/>
      <c r="AM350" s="2096">
        <v>350</v>
      </c>
    </row>
    <row r="351" spans="1:39" ht="15.95" customHeight="1">
      <c r="A351" s="1729" t="s">
        <v>199</v>
      </c>
      <c r="B351" s="1796" t="s">
        <v>2033</v>
      </c>
      <c r="D351" s="1776"/>
      <c r="E351" s="1825" t="s">
        <v>2034</v>
      </c>
      <c r="F351" s="1776"/>
      <c r="G351" s="1776"/>
      <c r="H351" s="3334"/>
      <c r="I351" s="3335"/>
      <c r="J351" s="3335"/>
      <c r="K351" s="3336"/>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211</v>
      </c>
      <c r="B352" s="1796" t="s">
        <v>2035</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1783</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15.95" customHeight="1">
      <c r="A354" s="3322" t="s">
        <v>2036</v>
      </c>
      <c r="B354" s="3323"/>
      <c r="C354" s="3323"/>
      <c r="D354" s="3323"/>
      <c r="E354" s="3323"/>
      <c r="F354" s="3323"/>
      <c r="G354" s="3323"/>
      <c r="H354" s="3323"/>
      <c r="I354" s="3323"/>
      <c r="J354" s="3323"/>
      <c r="K354" s="3323"/>
      <c r="L354" s="3323"/>
      <c r="M354" s="3323"/>
      <c r="N354" s="3323"/>
      <c r="O354" s="3323"/>
      <c r="P354" s="3324"/>
      <c r="Q354" s="1804"/>
      <c r="AM354" s="2096">
        <v>354</v>
      </c>
    </row>
    <row r="355" spans="1:39" ht="15.95" customHeight="1">
      <c r="A355" s="1727"/>
      <c r="B355" s="1783" t="s">
        <v>1437</v>
      </c>
      <c r="C355" s="1727"/>
      <c r="D355" s="1783"/>
      <c r="E355" s="2557"/>
      <c r="F355" s="2557"/>
      <c r="G355" s="2557"/>
      <c r="H355" s="2557"/>
      <c r="I355" s="2557"/>
      <c r="J355" s="2557"/>
      <c r="K355" s="2557"/>
      <c r="L355" s="2557"/>
      <c r="M355" s="2557"/>
      <c r="N355" s="1786"/>
      <c r="O355" s="1787"/>
      <c r="P355" s="1729"/>
      <c r="AM355" s="2096">
        <v>355</v>
      </c>
    </row>
    <row r="356" spans="1:39" ht="15.95" customHeight="1">
      <c r="A356" s="3302"/>
      <c r="B356" s="3303"/>
      <c r="C356" s="3303"/>
      <c r="D356" s="3303"/>
      <c r="E356" s="3303"/>
      <c r="F356" s="3303"/>
      <c r="G356" s="3303"/>
      <c r="H356" s="3303"/>
      <c r="I356" s="3303"/>
      <c r="J356" s="3303"/>
      <c r="K356" s="3303"/>
      <c r="L356" s="3303"/>
      <c r="M356" s="3303"/>
      <c r="N356" s="3303"/>
      <c r="O356" s="3303"/>
      <c r="P356" s="3304"/>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1613</v>
      </c>
      <c r="B359" s="1749" t="s">
        <v>2037</v>
      </c>
      <c r="D359" s="1805"/>
      <c r="E359" s="1805"/>
      <c r="G359" s="1727"/>
      <c r="L359" s="1868" t="str">
        <f>IF(AND(O359&gt;0,NOT($O$12="9%")),"Ineligible, not 9%!","")</f>
        <v/>
      </c>
      <c r="M359" s="1729">
        <v>2</v>
      </c>
      <c r="N359" s="1761"/>
      <c r="O359" s="1677"/>
      <c r="P359" s="1894"/>
      <c r="Q359" s="1759" t="s">
        <v>787</v>
      </c>
      <c r="R359" s="1931"/>
      <c r="S359" s="1931"/>
      <c r="AM359" s="2097">
        <v>359</v>
      </c>
    </row>
    <row r="360" spans="1:39" ht="15.95" customHeight="1">
      <c r="A360" s="1744"/>
      <c r="B360" s="1851" t="s">
        <v>2038</v>
      </c>
      <c r="D360" s="1805"/>
      <c r="E360" s="1805"/>
      <c r="G360" s="1727"/>
      <c r="I360" s="3337" t="s">
        <v>2039</v>
      </c>
      <c r="J360" s="3338"/>
      <c r="K360" s="3338"/>
      <c r="L360" s="3339"/>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1783</v>
      </c>
      <c r="L362" s="1726"/>
      <c r="M362" s="2559"/>
      <c r="N362" s="2553"/>
      <c r="O362" s="1738"/>
      <c r="P362" s="1737"/>
      <c r="AM362" s="2096">
        <v>362</v>
      </c>
    </row>
    <row r="363" spans="1:39" ht="15.95" customHeight="1">
      <c r="A363" s="3322" t="s">
        <v>2040</v>
      </c>
      <c r="B363" s="3323"/>
      <c r="C363" s="3323"/>
      <c r="D363" s="3323"/>
      <c r="E363" s="3323"/>
      <c r="F363" s="3323"/>
      <c r="G363" s="3323"/>
      <c r="H363" s="3323"/>
      <c r="I363" s="3323"/>
      <c r="J363" s="3323"/>
      <c r="K363" s="3323"/>
      <c r="L363" s="3323"/>
      <c r="M363" s="3323"/>
      <c r="N363" s="3323"/>
      <c r="O363" s="3323"/>
      <c r="P363" s="3324"/>
      <c r="Q363" s="1804"/>
      <c r="AM363" s="2096">
        <v>363</v>
      </c>
    </row>
    <row r="364" spans="1:39" s="1727" customFormat="1" ht="15.95" customHeight="1">
      <c r="B364" s="1832" t="s">
        <v>1437</v>
      </c>
      <c r="D364" s="1832"/>
      <c r="E364" s="2556"/>
      <c r="F364" s="2556"/>
      <c r="G364" s="2556"/>
      <c r="H364" s="2556"/>
      <c r="I364" s="2556"/>
      <c r="J364" s="2556"/>
      <c r="K364" s="2556"/>
      <c r="L364" s="2556"/>
      <c r="M364" s="2556"/>
      <c r="N364" s="2562"/>
      <c r="O364" s="2554"/>
      <c r="P364" s="1729"/>
      <c r="Q364" s="1726"/>
      <c r="AM364" s="2096">
        <v>364</v>
      </c>
    </row>
    <row r="365" spans="1:39" ht="15.95" customHeight="1">
      <c r="A365" s="3302"/>
      <c r="B365" s="3303"/>
      <c r="C365" s="3303"/>
      <c r="D365" s="3303"/>
      <c r="E365" s="3303"/>
      <c r="F365" s="3303"/>
      <c r="G365" s="3303"/>
      <c r="H365" s="3303"/>
      <c r="I365" s="3303"/>
      <c r="J365" s="3303"/>
      <c r="K365" s="3303"/>
      <c r="L365" s="3303"/>
      <c r="M365" s="3303"/>
      <c r="N365" s="3303"/>
      <c r="O365" s="3303"/>
      <c r="P365" s="3304"/>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1620</v>
      </c>
      <c r="B368" s="1749" t="s">
        <v>2041</v>
      </c>
      <c r="D368" s="1749"/>
      <c r="E368" s="1749"/>
      <c r="I368" s="1868" t="str">
        <f>IF(AND($O368&gt;0,NOT($F$12="Preservation")),"Ineligible, not Preservation!","")</f>
        <v/>
      </c>
      <c r="M368" s="1729"/>
      <c r="N368" s="2559"/>
      <c r="O368" s="1932">
        <f>IF($F$12="Preservation",O370+O373+O374+O375+O384+O399,0)</f>
        <v>0</v>
      </c>
      <c r="P368" s="1932">
        <f>IF($H$12="Preservation",P370+P371+P373+P374+P375+P384+P399,0)</f>
        <v>0</v>
      </c>
      <c r="Q368" s="1759" t="s">
        <v>787</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199</v>
      </c>
      <c r="B370" s="1736" t="s">
        <v>2042</v>
      </c>
      <c r="D370" s="1749"/>
      <c r="E370" s="1749"/>
      <c r="L370" s="1823" t="s">
        <v>1754</v>
      </c>
      <c r="M370" s="1729">
        <v>6</v>
      </c>
      <c r="N370" s="2559"/>
      <c r="O370" s="1644"/>
      <c r="P370" s="1840"/>
      <c r="Q370" s="1759"/>
      <c r="R370" s="1765"/>
      <c r="AM370" s="2096">
        <v>370</v>
      </c>
    </row>
    <row r="371" spans="1:39" s="1727" customFormat="1" ht="15.95" customHeight="1">
      <c r="A371" s="1869" t="s">
        <v>211</v>
      </c>
      <c r="B371" s="1736" t="s">
        <v>2043</v>
      </c>
      <c r="D371" s="1749"/>
      <c r="E371" s="1749"/>
      <c r="F371" s="1845" t="s">
        <v>2044</v>
      </c>
      <c r="K371" s="1764" t="str">
        <f>IF(OR($O371=$M371,$O371=0,$O371=""),"","*CHECK!*")</f>
        <v/>
      </c>
      <c r="L371" s="1823" t="s">
        <v>1754</v>
      </c>
      <c r="M371" s="1729">
        <v>6</v>
      </c>
      <c r="N371" s="2559"/>
      <c r="O371" s="2559"/>
      <c r="P371" s="1849"/>
      <c r="Q371" s="1759"/>
      <c r="R371" s="1765"/>
      <c r="AM371" s="2096">
        <v>371</v>
      </c>
    </row>
    <row r="372" spans="1:39" s="1727" customFormat="1" ht="15.95" customHeight="1">
      <c r="A372" s="1834"/>
      <c r="B372" s="1727" t="s">
        <v>2045</v>
      </c>
      <c r="D372" s="1749"/>
      <c r="E372" s="1749"/>
      <c r="F372" s="1741"/>
      <c r="L372" s="1764"/>
      <c r="M372" s="1729"/>
      <c r="N372" s="2559"/>
      <c r="O372" s="1648"/>
      <c r="P372" s="1771"/>
      <c r="Q372" s="1759"/>
      <c r="R372" s="1765"/>
      <c r="AM372" s="2097">
        <v>372</v>
      </c>
    </row>
    <row r="373" spans="1:39" s="1777" customFormat="1" ht="15.95" customHeight="1">
      <c r="A373" s="1729" t="s">
        <v>232</v>
      </c>
      <c r="B373" s="1884" t="s">
        <v>2046</v>
      </c>
      <c r="C373" s="1876"/>
      <c r="D373" s="1876"/>
      <c r="E373" s="1876"/>
      <c r="F373" s="1876"/>
      <c r="H373" s="1876"/>
      <c r="I373" s="1876"/>
      <c r="J373" s="1743"/>
      <c r="K373" s="1743"/>
      <c r="L373" s="1823" t="s">
        <v>1754</v>
      </c>
      <c r="M373" s="2559">
        <v>4</v>
      </c>
      <c r="N373" s="1842"/>
      <c r="O373" s="1644"/>
      <c r="P373" s="1840"/>
      <c r="Q373" s="1764"/>
      <c r="R373" s="1765"/>
      <c r="AM373" s="2097">
        <v>373</v>
      </c>
    </row>
    <row r="374" spans="1:39" ht="15.95" customHeight="1">
      <c r="A374" s="1729" t="s">
        <v>234</v>
      </c>
      <c r="B374" s="1736" t="s">
        <v>2047</v>
      </c>
      <c r="E374" s="1805"/>
      <c r="F374" s="1727"/>
      <c r="G374" s="1727"/>
      <c r="H374" s="1727"/>
      <c r="K374" s="2559"/>
      <c r="L374" s="1823" t="s">
        <v>1754</v>
      </c>
      <c r="M374" s="2559">
        <v>4</v>
      </c>
      <c r="N374" s="1842"/>
      <c r="O374" s="1644"/>
      <c r="P374" s="1840"/>
      <c r="Q374" s="1764"/>
      <c r="R374" s="1765"/>
      <c r="AM374" s="2097">
        <v>374</v>
      </c>
    </row>
    <row r="375" spans="1:39" s="1727" customFormat="1" ht="15.95" customHeight="1">
      <c r="A375" s="1729" t="s">
        <v>241</v>
      </c>
      <c r="B375" s="1736" t="s">
        <v>2048</v>
      </c>
      <c r="D375" s="1749"/>
      <c r="F375" s="1845" t="s">
        <v>2049</v>
      </c>
      <c r="K375" s="1868" t="str">
        <f>IF(AND($O375&gt;0,NOT($F$12="Preservation")),"Ineligible, not Preservation!","")</f>
        <v/>
      </c>
      <c r="L375" s="1823" t="s">
        <v>1754</v>
      </c>
      <c r="M375" s="1729">
        <v>20</v>
      </c>
      <c r="N375" s="2559"/>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2050</v>
      </c>
      <c r="D376" s="1909"/>
      <c r="E376" s="1909"/>
      <c r="F376" s="1910"/>
      <c r="G376" s="1910"/>
      <c r="H376" s="1910"/>
      <c r="I376" s="1910"/>
      <c r="J376" s="1911" t="s">
        <v>1745</v>
      </c>
      <c r="K376" s="1912" t="s">
        <v>774</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2051</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2052</v>
      </c>
      <c r="E378" s="1749"/>
      <c r="J378" s="1915">
        <f>MAX(O169,O178+O179+O181+O182+O183)</f>
        <v>2</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2053</v>
      </c>
      <c r="F379" s="1845"/>
      <c r="J379" s="2042">
        <f>$O$190</f>
        <v>3</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2054</v>
      </c>
      <c r="F380" s="1845"/>
      <c r="I380" s="1859" t="s">
        <v>2055</v>
      </c>
      <c r="J380" s="2049">
        <f>MAX(J381:J383)</f>
        <v>10</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2004</v>
      </c>
      <c r="F381" s="1845"/>
      <c r="J381" s="1915">
        <f>MAX(O206,O212+O222+O229)</f>
        <v>0</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1750</v>
      </c>
      <c r="F382" s="1845"/>
      <c r="J382" s="1918">
        <f>MAX($J$251,$O$238)</f>
        <v>10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2056</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243</v>
      </c>
      <c r="B384" s="1736" t="s">
        <v>2057</v>
      </c>
      <c r="D384" s="1749"/>
      <c r="G384" s="1760"/>
      <c r="K384" s="1764" t="str">
        <f>IF(OR($O384&lt;=$M384,$O384=0,$O384=""),"","*CHECK!*")</f>
        <v/>
      </c>
      <c r="L384" s="1762" t="s">
        <v>1754</v>
      </c>
      <c r="M384" s="1729">
        <v>22</v>
      </c>
      <c r="N384" s="2559"/>
      <c r="O384" s="1772">
        <f>IF($F$12="Preservation",IF(O385+O386+O387+O40&gt;$M384,"Check",O385+O386+O387+O399),0)</f>
        <v>0</v>
      </c>
      <c r="P384" s="1772">
        <f>IF($H$12="Preservation",IF(P385+P386+P387+P40&gt;$M384,"Check",P385+P386+P387+P399),0)</f>
        <v>0</v>
      </c>
      <c r="Q384" s="1759" t="s">
        <v>787</v>
      </c>
      <c r="R384" s="1765"/>
      <c r="AM384" s="2097">
        <v>384</v>
      </c>
    </row>
    <row r="385" spans="1:39" s="1727" customFormat="1" ht="15.95" customHeight="1">
      <c r="A385" s="1729"/>
      <c r="B385" s="1766"/>
      <c r="C385" s="1756" t="s">
        <v>2058</v>
      </c>
      <c r="H385" s="1933" t="s">
        <v>2059</v>
      </c>
      <c r="I385" s="1729"/>
      <c r="J385" s="1719"/>
      <c r="K385" s="1756"/>
      <c r="L385" s="1823" t="s">
        <v>1754</v>
      </c>
      <c r="M385" s="1826">
        <v>3</v>
      </c>
      <c r="N385" s="1762"/>
      <c r="O385" s="1646"/>
      <c r="P385" s="1849"/>
      <c r="Q385" s="1765"/>
      <c r="V385" s="1755"/>
      <c r="AM385" s="2097">
        <v>385</v>
      </c>
    </row>
    <row r="386" spans="1:39" s="1727" customFormat="1" ht="15" customHeight="1">
      <c r="A386" s="1729"/>
      <c r="B386" s="1769"/>
      <c r="C386" s="1777" t="s">
        <v>2060</v>
      </c>
      <c r="D386" s="1777"/>
      <c r="E386" s="1777"/>
      <c r="H386" s="1845" t="s">
        <v>2061</v>
      </c>
      <c r="I386" s="1777"/>
      <c r="J386" s="1720"/>
      <c r="K386" s="1777"/>
      <c r="L386" s="1823" t="s">
        <v>1754</v>
      </c>
      <c r="M386" s="1826">
        <v>3</v>
      </c>
      <c r="N386" s="1762"/>
      <c r="O386" s="1634"/>
      <c r="P386" s="1852"/>
      <c r="Q386" s="1762"/>
      <c r="V386" s="1755"/>
      <c r="AM386" s="2097">
        <v>386</v>
      </c>
    </row>
    <row r="387" spans="1:39" ht="15.95" customHeight="1">
      <c r="B387" s="1766"/>
      <c r="C387" s="1727" t="s">
        <v>2062</v>
      </c>
      <c r="F387" s="1845" t="s">
        <v>2063</v>
      </c>
      <c r="K387" s="1934" t="str">
        <f>IF(OR($O387="",$O$12="4%"),"","Ineligible!")</f>
        <v/>
      </c>
      <c r="L387" s="1823" t="s">
        <v>1754</v>
      </c>
      <c r="M387" s="2559">
        <v>10</v>
      </c>
      <c r="N387" s="1842"/>
      <c r="O387" s="1681"/>
      <c r="P387" s="1935"/>
      <c r="Q387" s="1764" t="str">
        <f>IF(OR($O387&lt;=$M387,$O387=0,$O387=""),"","*CHECK!*")</f>
        <v/>
      </c>
      <c r="R387" s="1765"/>
      <c r="AM387" s="2096">
        <v>387</v>
      </c>
    </row>
    <row r="388" spans="1:39" ht="15.95" customHeight="1">
      <c r="A388" s="1729"/>
      <c r="B388" s="1726" t="s">
        <v>2064</v>
      </c>
      <c r="D388" s="1726" t="s">
        <v>2065</v>
      </c>
      <c r="E388" s="1727"/>
      <c r="F388" s="1727"/>
      <c r="G388" s="1727" t="s">
        <v>249</v>
      </c>
      <c r="H388" s="1727"/>
      <c r="I388" s="1727"/>
      <c r="J388" s="1727" t="s">
        <v>58</v>
      </c>
      <c r="L388" s="2553" t="s">
        <v>2012</v>
      </c>
      <c r="M388" s="3329" t="s">
        <v>2066</v>
      </c>
      <c r="N388" s="3329"/>
      <c r="O388" s="3329"/>
      <c r="P388" s="3329"/>
      <c r="Q388" s="1764"/>
      <c r="AM388" s="2096">
        <v>388</v>
      </c>
    </row>
    <row r="389" spans="1:39" ht="15.95" customHeight="1">
      <c r="A389" s="1767" t="s">
        <v>216</v>
      </c>
      <c r="B389" s="3330"/>
      <c r="C389" s="3330"/>
      <c r="D389" s="3330"/>
      <c r="E389" s="3330"/>
      <c r="F389" s="3330"/>
      <c r="G389" s="3330"/>
      <c r="H389" s="3330"/>
      <c r="I389" s="3330"/>
      <c r="J389" s="3330"/>
      <c r="K389" s="3330"/>
      <c r="L389" s="1678"/>
      <c r="M389" s="3331"/>
      <c r="N389" s="3332"/>
      <c r="O389" s="3332"/>
      <c r="P389" s="3333"/>
      <c r="Q389" s="1764"/>
      <c r="AM389" s="2097">
        <v>389</v>
      </c>
    </row>
    <row r="390" spans="1:39" ht="15.95" customHeight="1">
      <c r="A390" s="1767" t="s">
        <v>219</v>
      </c>
      <c r="B390" s="3325"/>
      <c r="C390" s="3325"/>
      <c r="D390" s="3325"/>
      <c r="E390" s="3325"/>
      <c r="F390" s="3325"/>
      <c r="G390" s="3325"/>
      <c r="H390" s="3325"/>
      <c r="I390" s="3325"/>
      <c r="J390" s="3325"/>
      <c r="K390" s="3325"/>
      <c r="L390" s="1679"/>
      <c r="M390" s="3326"/>
      <c r="N390" s="3327"/>
      <c r="O390" s="3327"/>
      <c r="P390" s="3328"/>
      <c r="Q390" s="1764"/>
      <c r="AM390" s="2096">
        <v>390</v>
      </c>
    </row>
    <row r="391" spans="1:39" ht="15.95" customHeight="1">
      <c r="A391" s="1767" t="s">
        <v>221</v>
      </c>
      <c r="B391" s="3325"/>
      <c r="C391" s="3325"/>
      <c r="D391" s="3325"/>
      <c r="E391" s="3325"/>
      <c r="F391" s="3325"/>
      <c r="G391" s="3325"/>
      <c r="H391" s="3325"/>
      <c r="I391" s="3325"/>
      <c r="J391" s="3325"/>
      <c r="K391" s="3325"/>
      <c r="L391" s="1679"/>
      <c r="M391" s="3326"/>
      <c r="N391" s="3327"/>
      <c r="O391" s="3327"/>
      <c r="P391" s="3328"/>
      <c r="Q391" s="1764"/>
      <c r="AM391" s="2096">
        <v>391</v>
      </c>
    </row>
    <row r="392" spans="1:39" ht="15.95" customHeight="1">
      <c r="A392" s="1767" t="s">
        <v>2067</v>
      </c>
      <c r="B392" s="3325"/>
      <c r="C392" s="3325"/>
      <c r="D392" s="3325"/>
      <c r="E392" s="3325"/>
      <c r="F392" s="3325"/>
      <c r="G392" s="3325"/>
      <c r="H392" s="3325"/>
      <c r="I392" s="3325"/>
      <c r="J392" s="3325"/>
      <c r="K392" s="3325"/>
      <c r="L392" s="1679"/>
      <c r="M392" s="3326"/>
      <c r="N392" s="3327"/>
      <c r="O392" s="3327"/>
      <c r="P392" s="3328"/>
      <c r="Q392" s="1764"/>
      <c r="AM392" s="2097">
        <v>392</v>
      </c>
    </row>
    <row r="393" spans="1:39" ht="15.95" customHeight="1">
      <c r="A393" s="1767" t="s">
        <v>2068</v>
      </c>
      <c r="B393" s="3325"/>
      <c r="C393" s="3325"/>
      <c r="D393" s="3325"/>
      <c r="E393" s="3325"/>
      <c r="F393" s="3325"/>
      <c r="G393" s="3325"/>
      <c r="H393" s="3325"/>
      <c r="I393" s="3325"/>
      <c r="J393" s="3325"/>
      <c r="K393" s="3325"/>
      <c r="L393" s="1679"/>
      <c r="M393" s="3326"/>
      <c r="N393" s="3327"/>
      <c r="O393" s="3327"/>
      <c r="P393" s="3328"/>
      <c r="Q393" s="1764"/>
      <c r="AM393" s="2097">
        <v>393</v>
      </c>
    </row>
    <row r="394" spans="1:39" ht="15.95" customHeight="1">
      <c r="A394" s="1767" t="s">
        <v>2069</v>
      </c>
      <c r="B394" s="3325"/>
      <c r="C394" s="3325"/>
      <c r="D394" s="3325"/>
      <c r="E394" s="3325"/>
      <c r="F394" s="3325"/>
      <c r="G394" s="3325"/>
      <c r="H394" s="3325"/>
      <c r="I394" s="3325"/>
      <c r="J394" s="3325"/>
      <c r="K394" s="3325"/>
      <c r="L394" s="1679"/>
      <c r="M394" s="3326"/>
      <c r="N394" s="3327"/>
      <c r="O394" s="3327"/>
      <c r="P394" s="3328"/>
      <c r="Q394" s="1764"/>
      <c r="AM394" s="2097">
        <v>394</v>
      </c>
    </row>
    <row r="395" spans="1:39" ht="15.95" customHeight="1">
      <c r="A395" s="1767" t="s">
        <v>2070</v>
      </c>
      <c r="B395" s="3325"/>
      <c r="C395" s="3325"/>
      <c r="D395" s="3325"/>
      <c r="E395" s="3325"/>
      <c r="F395" s="3325"/>
      <c r="G395" s="3325"/>
      <c r="H395" s="3325"/>
      <c r="I395" s="3325"/>
      <c r="J395" s="3325"/>
      <c r="K395" s="3325"/>
      <c r="L395" s="1679"/>
      <c r="M395" s="3326"/>
      <c r="N395" s="3327"/>
      <c r="O395" s="3327"/>
      <c r="P395" s="3328"/>
      <c r="Q395" s="1764"/>
      <c r="AM395" s="2097">
        <v>395</v>
      </c>
    </row>
    <row r="396" spans="1:39" ht="15.95" customHeight="1">
      <c r="A396" s="1767" t="s">
        <v>2071</v>
      </c>
      <c r="B396" s="3325"/>
      <c r="C396" s="3325"/>
      <c r="D396" s="3325"/>
      <c r="E396" s="3325"/>
      <c r="F396" s="3325"/>
      <c r="G396" s="3325"/>
      <c r="H396" s="3325"/>
      <c r="I396" s="3325"/>
      <c r="J396" s="3325"/>
      <c r="K396" s="3325"/>
      <c r="L396" s="1679"/>
      <c r="M396" s="3326"/>
      <c r="N396" s="3327"/>
      <c r="O396" s="3327"/>
      <c r="P396" s="3328"/>
      <c r="Q396" s="1764"/>
      <c r="AM396" s="2096">
        <v>396</v>
      </c>
    </row>
    <row r="397" spans="1:39">
      <c r="A397" s="1767" t="s">
        <v>2072</v>
      </c>
      <c r="B397" s="3325"/>
      <c r="C397" s="3325"/>
      <c r="D397" s="3325"/>
      <c r="E397" s="3325"/>
      <c r="F397" s="3325"/>
      <c r="G397" s="3325"/>
      <c r="H397" s="3325"/>
      <c r="I397" s="3325"/>
      <c r="J397" s="3325"/>
      <c r="K397" s="3325"/>
      <c r="L397" s="1679"/>
      <c r="M397" s="3326"/>
      <c r="N397" s="3327"/>
      <c r="O397" s="3327"/>
      <c r="P397" s="3328"/>
      <c r="AM397" s="2097">
        <v>397</v>
      </c>
    </row>
    <row r="398" spans="1:39" ht="15.95" customHeight="1">
      <c r="A398" s="1767" t="s">
        <v>2073</v>
      </c>
      <c r="B398" s="3318"/>
      <c r="C398" s="3318"/>
      <c r="D398" s="3318"/>
      <c r="E398" s="3318"/>
      <c r="F398" s="3318"/>
      <c r="G398" s="3318"/>
      <c r="H398" s="3318"/>
      <c r="I398" s="3318"/>
      <c r="J398" s="3318"/>
      <c r="K398" s="3318"/>
      <c r="L398" s="1680"/>
      <c r="M398" s="3319"/>
      <c r="N398" s="3320"/>
      <c r="O398" s="3320"/>
      <c r="P398" s="3321"/>
      <c r="Q398" s="1764"/>
      <c r="AM398" s="2096">
        <v>398</v>
      </c>
    </row>
    <row r="399" spans="1:39" s="1777" customFormat="1" ht="15.95" customHeight="1">
      <c r="A399" s="1869"/>
      <c r="B399" s="1769"/>
      <c r="C399" s="1777" t="s">
        <v>2074</v>
      </c>
      <c r="D399" s="1876"/>
      <c r="E399" s="1876"/>
      <c r="F399" s="1845" t="s">
        <v>2063</v>
      </c>
      <c r="H399" s="1845" t="s">
        <v>2075</v>
      </c>
      <c r="I399" s="1876"/>
      <c r="J399" s="1719"/>
      <c r="K399" s="1934" t="str">
        <f>IF(OR($O399="",$O$12="4%"),"","Ineligible!")</f>
        <v/>
      </c>
      <c r="L399" s="1823" t="s">
        <v>1754</v>
      </c>
      <c r="M399" s="2559">
        <v>6</v>
      </c>
      <c r="N399" s="1842"/>
      <c r="O399" s="1681"/>
      <c r="P399" s="1935"/>
      <c r="Q399" s="1764" t="str">
        <f>IF(OR($O399&lt;=$M399,$O399=0,$O399=""),"","*CHECK!*")</f>
        <v/>
      </c>
      <c r="AM399" s="2096">
        <v>399</v>
      </c>
    </row>
    <row r="400" spans="1:39" ht="15.95" customHeight="1">
      <c r="A400" s="1727"/>
      <c r="B400" s="1747" t="s">
        <v>1783</v>
      </c>
      <c r="C400" s="1727"/>
      <c r="D400" s="1727"/>
      <c r="E400" s="1727"/>
      <c r="F400" s="1727"/>
      <c r="G400" s="1727"/>
      <c r="H400" s="1727"/>
      <c r="I400" s="1727"/>
      <c r="J400" s="1727"/>
      <c r="K400" s="1727"/>
      <c r="M400" s="2559"/>
      <c r="N400" s="2553"/>
      <c r="O400" s="1738"/>
      <c r="AM400" s="2096">
        <v>400</v>
      </c>
    </row>
    <row r="401" spans="1:39" ht="15.95" customHeight="1">
      <c r="A401" s="3322"/>
      <c r="B401" s="3323"/>
      <c r="C401" s="3323"/>
      <c r="D401" s="3323"/>
      <c r="E401" s="3323"/>
      <c r="F401" s="3323"/>
      <c r="G401" s="3323"/>
      <c r="H401" s="3323"/>
      <c r="I401" s="3323"/>
      <c r="J401" s="3323"/>
      <c r="K401" s="3323"/>
      <c r="L401" s="3323"/>
      <c r="M401" s="3323"/>
      <c r="N401" s="3323"/>
      <c r="O401" s="3323"/>
      <c r="P401" s="3324"/>
      <c r="Q401" s="1804"/>
      <c r="R401" s="1804"/>
      <c r="AM401" s="2096">
        <v>401</v>
      </c>
    </row>
    <row r="402" spans="1:39" s="1727" customFormat="1" ht="15.95" customHeight="1">
      <c r="A402" s="1747"/>
      <c r="B402" s="1747" t="s">
        <v>1437</v>
      </c>
      <c r="D402" s="1747"/>
      <c r="E402" s="2556"/>
      <c r="F402" s="2556"/>
      <c r="G402" s="2556"/>
      <c r="H402" s="2556"/>
      <c r="I402" s="2556"/>
      <c r="J402" s="2556"/>
      <c r="K402" s="2556"/>
      <c r="L402" s="2556"/>
      <c r="M402" s="2556"/>
      <c r="N402" s="2562"/>
      <c r="O402" s="2554"/>
      <c r="P402" s="1729"/>
      <c r="AM402" s="2097">
        <v>402</v>
      </c>
    </row>
    <row r="403" spans="1:39" ht="15.95" customHeight="1">
      <c r="A403" s="3302"/>
      <c r="B403" s="3303"/>
      <c r="C403" s="3303"/>
      <c r="D403" s="3303"/>
      <c r="E403" s="3303"/>
      <c r="F403" s="3303"/>
      <c r="G403" s="3303"/>
      <c r="H403" s="3303"/>
      <c r="I403" s="3303"/>
      <c r="J403" s="3303"/>
      <c r="K403" s="3303"/>
      <c r="L403" s="3303"/>
      <c r="M403" s="3303"/>
      <c r="N403" s="3303"/>
      <c r="O403" s="3303"/>
      <c r="P403" s="3304"/>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5" t="s">
        <v>2076</v>
      </c>
      <c r="R404" s="3306"/>
      <c r="S404" s="3306"/>
      <c r="T404" s="3306"/>
      <c r="U404" s="3306"/>
      <c r="V404" s="3306"/>
      <c r="W404" s="3306"/>
      <c r="X404" s="3306"/>
      <c r="Y404" s="3306"/>
      <c r="Z404" s="3306"/>
      <c r="AA404" s="3306"/>
      <c r="AB404" s="3306"/>
      <c r="AC404" s="3306"/>
      <c r="AD404" s="3306"/>
      <c r="AE404" s="3306"/>
      <c r="AF404" s="3306"/>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5"/>
      <c r="R405" s="3306"/>
      <c r="S405" s="3306"/>
      <c r="T405" s="3306"/>
      <c r="U405" s="3306"/>
      <c r="V405" s="3306"/>
      <c r="W405" s="3306"/>
      <c r="X405" s="3306"/>
      <c r="Y405" s="3306"/>
      <c r="Z405" s="3306"/>
      <c r="AA405" s="3306"/>
      <c r="AB405" s="3306"/>
      <c r="AC405" s="3306"/>
      <c r="AD405" s="3306"/>
      <c r="AE405" s="3306"/>
      <c r="AF405" s="3306"/>
      <c r="AM405" s="2097">
        <v>405</v>
      </c>
    </row>
    <row r="406" spans="1:39" ht="15.95" customHeight="1" thickBot="1">
      <c r="N406" s="2553"/>
      <c r="Q406" s="3305"/>
      <c r="R406" s="3306"/>
      <c r="S406" s="3306"/>
      <c r="T406" s="3306"/>
      <c r="U406" s="3306"/>
      <c r="V406" s="3306"/>
      <c r="W406" s="3306"/>
      <c r="X406" s="3306"/>
      <c r="Y406" s="3306"/>
      <c r="Z406" s="3306"/>
      <c r="AA406" s="3306"/>
      <c r="AB406" s="3306"/>
      <c r="AC406" s="3306"/>
      <c r="AD406" s="3306"/>
      <c r="AE406" s="3306"/>
      <c r="AF406" s="3306"/>
      <c r="AM406" s="2096">
        <v>406</v>
      </c>
    </row>
    <row r="407" spans="1:39" s="1727" customFormat="1" ht="15.95" customHeight="1" thickTop="1" thickBot="1">
      <c r="A407" s="1736" t="s">
        <v>2077</v>
      </c>
      <c r="B407" s="1726"/>
      <c r="D407" s="1726"/>
      <c r="E407" s="1726"/>
      <c r="F407" s="1726"/>
      <c r="M407" s="1659"/>
      <c r="N407" s="1739"/>
      <c r="O407" s="1740">
        <f>IF(AND($F$12="New Affordability",$O$12="9%"),$AV$449,IF(AND($F$12="New Affordability",$O$12="4%"),$AW$449,IF(AND($F$12="Preservation",$O$12="9%"),$AX$449,IF(AND($F$12="Preservation",$O$12="4%"),$AY$449,0))))</f>
        <v>80</v>
      </c>
      <c r="P407" s="2053">
        <f>IF(AND($F$12="New Affordability",$O$12="9%"),$AZ$449,IF(AND($F$12="New Affordability",$O$12="4%"),$BA$449,IF(AND($F$12="Preservation",$O$12="9%"),$BB$449,IF(AND($F$12="Preservation",$O$12="4%"),$BC$449,0))))</f>
        <v>12</v>
      </c>
      <c r="Q407" s="3305"/>
      <c r="R407" s="3306"/>
      <c r="S407" s="3306"/>
      <c r="T407" s="3306"/>
      <c r="U407" s="3306"/>
      <c r="V407" s="3306"/>
      <c r="W407" s="3306"/>
      <c r="X407" s="3306"/>
      <c r="Y407" s="3306"/>
      <c r="Z407" s="3306"/>
      <c r="AA407" s="3306"/>
      <c r="AB407" s="3306"/>
      <c r="AC407" s="3306"/>
      <c r="AD407" s="3306"/>
      <c r="AE407" s="3306"/>
      <c r="AF407" s="3306"/>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5"/>
      <c r="R408" s="3306"/>
      <c r="S408" s="3306"/>
      <c r="T408" s="3306"/>
      <c r="U408" s="3306"/>
      <c r="V408" s="3306"/>
      <c r="W408" s="3306"/>
      <c r="X408" s="3306"/>
      <c r="Y408" s="3306"/>
      <c r="Z408" s="3306"/>
      <c r="AA408" s="3306"/>
      <c r="AB408" s="3306"/>
      <c r="AC408" s="3306"/>
      <c r="AD408" s="3306"/>
      <c r="AE408" s="3306"/>
      <c r="AF408" s="3306"/>
      <c r="AM408" s="2096">
        <v>408</v>
      </c>
    </row>
    <row r="409" spans="1:39" ht="7.5" customHeight="1">
      <c r="F409" s="1756"/>
      <c r="G409" s="1756"/>
      <c r="H409" s="1729"/>
      <c r="I409" s="1729"/>
      <c r="N409" s="1729"/>
      <c r="O409" s="1729"/>
      <c r="P409" s="1738"/>
      <c r="Q409" s="3305"/>
      <c r="R409" s="3306"/>
      <c r="S409" s="3306"/>
      <c r="T409" s="3306"/>
      <c r="U409" s="3306"/>
      <c r="V409" s="3306"/>
      <c r="W409" s="3306"/>
      <c r="X409" s="3306"/>
      <c r="Y409" s="3306"/>
      <c r="Z409" s="3306"/>
      <c r="AA409" s="3306"/>
      <c r="AB409" s="3306"/>
      <c r="AC409" s="3306"/>
      <c r="AD409" s="3306"/>
      <c r="AE409" s="3306"/>
      <c r="AF409" s="3306"/>
      <c r="AM409" s="2096">
        <v>409</v>
      </c>
    </row>
    <row r="410" spans="1:39" ht="33.950000000000003" customHeight="1">
      <c r="A410" s="3307" t="s">
        <v>2078</v>
      </c>
      <c r="B410" s="3307"/>
      <c r="C410" s="3307"/>
      <c r="D410" s="3307"/>
      <c r="E410" s="3307"/>
      <c r="F410" s="3307"/>
      <c r="G410" s="3307"/>
      <c r="H410" s="3307"/>
      <c r="I410" s="3307"/>
      <c r="J410" s="3307"/>
      <c r="K410" s="3307"/>
      <c r="L410" s="3307"/>
      <c r="M410" s="3307"/>
      <c r="N410" s="3307"/>
      <c r="O410" s="3307"/>
      <c r="P410" s="3307"/>
      <c r="Q410" s="3305"/>
      <c r="R410" s="3306"/>
      <c r="S410" s="3306"/>
      <c r="T410" s="3306"/>
      <c r="U410" s="3306"/>
      <c r="V410" s="3306"/>
      <c r="W410" s="3306"/>
      <c r="X410" s="3306"/>
      <c r="Y410" s="3306"/>
      <c r="Z410" s="3306"/>
      <c r="AA410" s="3306"/>
      <c r="AB410" s="3306"/>
      <c r="AC410" s="3306"/>
      <c r="AD410" s="3306"/>
      <c r="AE410" s="3306"/>
      <c r="AF410" s="3306"/>
      <c r="AM410" s="2096">
        <v>410</v>
      </c>
    </row>
    <row r="411" spans="1:39" ht="409.35" customHeight="1">
      <c r="A411" s="3308" t="s">
        <v>2079</v>
      </c>
      <c r="B411" s="3309"/>
      <c r="C411" s="3309"/>
      <c r="D411" s="3309"/>
      <c r="E411" s="3309"/>
      <c r="F411" s="3309"/>
      <c r="G411" s="3309"/>
      <c r="H411" s="3309"/>
      <c r="I411" s="3309"/>
      <c r="J411" s="3309"/>
      <c r="K411" s="3309"/>
      <c r="L411" s="3309"/>
      <c r="M411" s="3309"/>
      <c r="N411" s="3309"/>
      <c r="O411" s="3309"/>
      <c r="P411" s="3310"/>
      <c r="Q411" s="1742"/>
      <c r="R411" s="1742"/>
      <c r="S411" s="1742"/>
      <c r="T411" s="1742"/>
      <c r="U411" s="1742"/>
      <c r="V411" s="1742"/>
      <c r="W411" s="1742"/>
      <c r="X411" s="1742"/>
      <c r="Y411" s="1742"/>
      <c r="AM411" s="2098">
        <v>411</v>
      </c>
    </row>
    <row r="412" spans="1:39">
      <c r="B412" s="1660"/>
      <c r="C412" s="1660" t="s">
        <v>1714</v>
      </c>
      <c r="D412" s="1660"/>
      <c r="E412" s="1660"/>
      <c r="F412" s="1660"/>
      <c r="G412" s="1660"/>
      <c r="H412" s="1660"/>
      <c r="I412" s="1660"/>
      <c r="J412" s="1661" t="s">
        <v>1638</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2080</v>
      </c>
      <c r="D413" s="1660"/>
      <c r="E413" s="1660"/>
      <c r="F413" s="1660"/>
      <c r="G413" s="1660"/>
      <c r="H413" s="1660"/>
      <c r="I413" s="1660"/>
      <c r="J413" s="1661" t="s">
        <v>1661</v>
      </c>
      <c r="K413" s="1660"/>
      <c r="L413" s="1660"/>
      <c r="M413" s="1660"/>
      <c r="N413" s="2564"/>
      <c r="O413" s="2565"/>
      <c r="P413" s="2565"/>
      <c r="Q413" s="1660"/>
      <c r="R413" s="1660"/>
      <c r="S413" s="1660"/>
      <c r="AM413" s="2553"/>
    </row>
    <row r="414" spans="1:39">
      <c r="B414" s="1660"/>
      <c r="C414" s="1660" t="s">
        <v>2081</v>
      </c>
      <c r="D414" s="1660"/>
      <c r="E414" s="1660"/>
      <c r="F414" s="1660"/>
      <c r="G414" s="1660"/>
      <c r="H414" s="1660"/>
      <c r="I414" s="1660"/>
      <c r="J414" s="1661" t="s">
        <v>2082</v>
      </c>
      <c r="K414" s="1660"/>
      <c r="L414" s="1660"/>
      <c r="M414" s="1660"/>
      <c r="N414" s="2564"/>
      <c r="O414" s="2565"/>
      <c r="P414" s="2565"/>
      <c r="Q414" s="1660"/>
      <c r="R414" s="1660"/>
      <c r="S414" s="1660"/>
      <c r="AM414" s="2553"/>
    </row>
    <row r="415" spans="1:39">
      <c r="B415" s="1660"/>
      <c r="C415" s="1660" t="s">
        <v>2083</v>
      </c>
      <c r="D415" s="1660"/>
      <c r="E415" s="1660"/>
      <c r="F415" s="1660"/>
      <c r="G415" s="1660"/>
      <c r="H415" s="1660"/>
      <c r="I415" s="1660"/>
      <c r="J415" s="1661" t="s">
        <v>2084</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1510</v>
      </c>
      <c r="K416" s="1660"/>
      <c r="L416" s="1660"/>
      <c r="M416" s="1660"/>
      <c r="N416" s="2564"/>
      <c r="O416" s="2565"/>
      <c r="P416" s="2565"/>
      <c r="Q416" s="1660"/>
      <c r="R416" s="1660"/>
      <c r="S416" s="1660"/>
      <c r="AM416" s="2553"/>
    </row>
    <row r="417" spans="2:58">
      <c r="B417" s="1660"/>
      <c r="C417" s="1660" t="s">
        <v>726</v>
      </c>
      <c r="D417" s="1660"/>
      <c r="E417" s="1660"/>
      <c r="F417" s="1660"/>
      <c r="G417" s="1660"/>
      <c r="H417" s="1660"/>
      <c r="I417" s="1660"/>
      <c r="J417" s="1661" t="s">
        <v>2085</v>
      </c>
      <c r="K417" s="1660"/>
      <c r="L417" s="1660"/>
      <c r="M417" s="1660"/>
      <c r="N417" s="2564"/>
      <c r="O417" s="2565"/>
      <c r="P417" s="2565"/>
      <c r="Q417" s="1660"/>
      <c r="R417" s="1660"/>
      <c r="S417" s="1660"/>
      <c r="AM417" s="2553"/>
    </row>
    <row r="418" spans="2:58" ht="15" thickBot="1">
      <c r="B418" s="1660"/>
      <c r="C418" s="1662" t="s">
        <v>1634</v>
      </c>
      <c r="D418" s="1660"/>
      <c r="E418" s="1660"/>
      <c r="F418" s="1660"/>
      <c r="G418" s="1660"/>
      <c r="H418" s="1660"/>
      <c r="I418" s="1660"/>
      <c r="J418" s="1661" t="s">
        <v>2086</v>
      </c>
      <c r="K418" s="1660"/>
      <c r="L418" s="1660"/>
      <c r="M418" s="1660"/>
      <c r="N418" s="2564"/>
      <c r="O418" s="2565"/>
      <c r="P418" s="2565"/>
      <c r="Q418" s="1660"/>
      <c r="R418" s="1660"/>
      <c r="S418" s="1660"/>
      <c r="AM418" s="2553"/>
      <c r="AS418" s="1731"/>
      <c r="AT418" s="1731"/>
      <c r="AU418" s="1727"/>
      <c r="AV418" s="3311" t="s">
        <v>2087</v>
      </c>
      <c r="AW418" s="3311"/>
      <c r="AX418" s="3311"/>
      <c r="AY418" s="3311"/>
      <c r="AZ418" s="3311"/>
      <c r="BA418" s="3311"/>
      <c r="BB418" s="3311"/>
      <c r="BC418" s="3311"/>
      <c r="BD418" s="1727"/>
      <c r="BE418" s="1727"/>
      <c r="BF418" s="1727"/>
    </row>
    <row r="419" spans="2:58" ht="15" thickBot="1">
      <c r="B419" s="1660"/>
      <c r="C419" s="1662" t="s">
        <v>1637</v>
      </c>
      <c r="D419" s="1660"/>
      <c r="E419" s="1660"/>
      <c r="F419" s="1660"/>
      <c r="G419" s="1660"/>
      <c r="H419" s="1660"/>
      <c r="I419" s="1660"/>
      <c r="J419" s="1661" t="s">
        <v>1647</v>
      </c>
      <c r="K419" s="1660"/>
      <c r="L419" s="1660"/>
      <c r="M419" s="1660"/>
      <c r="N419" s="2564"/>
      <c r="O419" s="2565"/>
      <c r="P419" s="2565"/>
      <c r="Q419" s="1660"/>
      <c r="R419" s="1660"/>
      <c r="S419" s="1660"/>
      <c r="AM419" s="2553"/>
      <c r="AP419" s="1731"/>
      <c r="AQ419" s="1731"/>
      <c r="AR419" s="1727"/>
      <c r="AS419" s="1727"/>
      <c r="AT419" s="1727"/>
      <c r="AU419" s="1727"/>
      <c r="AV419" s="3312" t="s">
        <v>2088</v>
      </c>
      <c r="AW419" s="3313"/>
      <c r="AX419" s="3313"/>
      <c r="AY419" s="3314"/>
      <c r="AZ419" s="3315" t="s">
        <v>2089</v>
      </c>
      <c r="BA419" s="3316"/>
      <c r="BB419" s="3316"/>
      <c r="BC419" s="3317"/>
    </row>
    <row r="420" spans="2:58">
      <c r="B420" s="1660"/>
      <c r="C420" s="1662" t="s">
        <v>1640</v>
      </c>
      <c r="D420" s="1660"/>
      <c r="E420" s="1660"/>
      <c r="F420" s="1660"/>
      <c r="G420" s="1660"/>
      <c r="H420" s="1660"/>
      <c r="I420" s="1660"/>
      <c r="J420" s="1661" t="s">
        <v>1632</v>
      </c>
      <c r="K420" s="1660"/>
      <c r="L420" s="1660"/>
      <c r="M420" s="1660"/>
      <c r="N420" s="2564"/>
      <c r="O420" s="2565"/>
      <c r="P420" s="2565"/>
      <c r="Q420" s="1660"/>
      <c r="R420" s="1660"/>
      <c r="S420" s="1660"/>
      <c r="AA420" s="2066" t="s">
        <v>25</v>
      </c>
      <c r="AB420" s="2067" t="s">
        <v>1740</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1643</v>
      </c>
      <c r="D421" s="1660"/>
      <c r="E421" s="1660"/>
      <c r="F421" s="1660"/>
      <c r="G421" s="1660"/>
      <c r="H421" s="1660"/>
      <c r="I421" s="1660"/>
      <c r="J421" s="1661" t="s">
        <v>1644</v>
      </c>
      <c r="K421" s="1660"/>
      <c r="L421" s="1660"/>
      <c r="M421" s="1660"/>
      <c r="N421" s="2564"/>
      <c r="O421" s="2565"/>
      <c r="P421" s="2565"/>
      <c r="Q421" s="1660"/>
      <c r="R421" s="1660"/>
      <c r="S421" s="1660"/>
      <c r="AA421" s="1660"/>
      <c r="AB421" s="1660"/>
      <c r="AC421" s="1631"/>
      <c r="AD421" s="1660"/>
      <c r="AE421" s="1660"/>
      <c r="AF421" s="1660"/>
      <c r="AG421" s="3295" t="s">
        <v>1237</v>
      </c>
      <c r="AH421" s="3295"/>
      <c r="AI421" s="3295" t="s">
        <v>2090</v>
      </c>
      <c r="AJ421" s="3295"/>
      <c r="AK421" s="3298" t="s">
        <v>2091</v>
      </c>
      <c r="AL421" s="3298"/>
      <c r="AM421" s="3298"/>
      <c r="AN421" s="3298"/>
      <c r="AP421" s="1750"/>
      <c r="AQ421" s="1749" t="s">
        <v>1740</v>
      </c>
      <c r="AR421" s="1750"/>
      <c r="AS421" s="1750"/>
      <c r="AT421" s="1750"/>
      <c r="AV421" s="3299" t="s">
        <v>1237</v>
      </c>
      <c r="AW421" s="3300"/>
      <c r="AX421" s="3299" t="s">
        <v>2090</v>
      </c>
      <c r="AY421" s="3300"/>
      <c r="AZ421" s="3301" t="s">
        <v>1237</v>
      </c>
      <c r="BA421" s="3301"/>
      <c r="BB421" s="3293" t="s">
        <v>2090</v>
      </c>
      <c r="BC421" s="3294"/>
    </row>
    <row r="422" spans="2:58" ht="30">
      <c r="B422" s="1660"/>
      <c r="C422" s="1662" t="s">
        <v>1646</v>
      </c>
      <c r="D422" s="1660"/>
      <c r="E422" s="1660"/>
      <c r="F422" s="1660"/>
      <c r="G422" s="1660"/>
      <c r="H422" s="1660"/>
      <c r="I422" s="1660"/>
      <c r="J422" s="1661" t="s">
        <v>2092</v>
      </c>
      <c r="K422" s="1660"/>
      <c r="L422" s="1660"/>
      <c r="M422" s="1660"/>
      <c r="N422" s="2564"/>
      <c r="O422" s="2565"/>
      <c r="P422" s="2565"/>
      <c r="Q422" s="1660"/>
      <c r="R422" s="1660"/>
      <c r="S422" s="1660"/>
      <c r="AA422" s="1660"/>
      <c r="AB422" s="1631"/>
      <c r="AC422" s="1660"/>
      <c r="AD422" s="1660"/>
      <c r="AE422" s="1660"/>
      <c r="AF422" s="1660"/>
      <c r="AG422" s="2068">
        <v>0.09</v>
      </c>
      <c r="AH422" s="2068" t="s">
        <v>2093</v>
      </c>
      <c r="AI422" s="2068">
        <v>0.09</v>
      </c>
      <c r="AJ422" s="2068" t="s">
        <v>2093</v>
      </c>
      <c r="AK422" s="3295" t="str">
        <f>'Part I-Project Identification'!F12</f>
        <v>9% Credit Competitive Round only</v>
      </c>
      <c r="AL422" s="3295"/>
      <c r="AM422" s="3295"/>
      <c r="AN422" s="3295"/>
      <c r="AQ422" s="1727"/>
      <c r="AV422" s="1937">
        <v>0.09</v>
      </c>
      <c r="AW422" s="1937" t="s">
        <v>2093</v>
      </c>
      <c r="AX422" s="1937">
        <v>0.09</v>
      </c>
      <c r="AY422" s="1937" t="s">
        <v>2093</v>
      </c>
      <c r="AZ422" s="1938">
        <v>0.09</v>
      </c>
      <c r="BA422" s="1938" t="s">
        <v>2093</v>
      </c>
      <c r="BB422" s="1938">
        <v>0.09</v>
      </c>
      <c r="BC422" s="1938" t="s">
        <v>2093</v>
      </c>
    </row>
    <row r="423" spans="2:58">
      <c r="B423" s="1660"/>
      <c r="C423" s="1662" t="s">
        <v>1649</v>
      </c>
      <c r="D423" s="1660"/>
      <c r="E423" s="1660"/>
      <c r="F423" s="1660"/>
      <c r="G423" s="1660"/>
      <c r="H423" s="1660"/>
      <c r="I423" s="1660"/>
      <c r="J423" s="1661" t="s">
        <v>1659</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1652</v>
      </c>
      <c r="D424" s="1660"/>
      <c r="E424" s="1660"/>
      <c r="F424" s="1660"/>
      <c r="G424" s="1660"/>
      <c r="H424" s="1660"/>
      <c r="I424" s="1660"/>
      <c r="J424" s="1661" t="s">
        <v>2094</v>
      </c>
      <c r="K424" s="1660"/>
      <c r="L424" s="1660"/>
      <c r="M424" s="1660"/>
      <c r="N424" s="2564"/>
      <c r="O424" s="2565"/>
      <c r="P424" s="2565"/>
      <c r="Q424" s="1660"/>
      <c r="R424" s="1660"/>
      <c r="S424" s="1660"/>
      <c r="AA424" s="2069" t="s">
        <v>32</v>
      </c>
      <c r="AB424" s="1631" t="s">
        <v>2095</v>
      </c>
      <c r="AC424" s="1660"/>
      <c r="AD424" s="1660"/>
      <c r="AE424" s="1660"/>
      <c r="AF424" s="1660"/>
      <c r="AG424" s="2070">
        <f>$M$20</f>
        <v>6</v>
      </c>
      <c r="AH424" s="2070">
        <f>$M$20</f>
        <v>6</v>
      </c>
      <c r="AI424" s="2070">
        <f>$M$20</f>
        <v>6</v>
      </c>
      <c r="AJ424" s="2070">
        <f>$M$20</f>
        <v>6</v>
      </c>
      <c r="AK424" s="1660"/>
      <c r="AL424" s="1660"/>
      <c r="AM424" s="2564"/>
      <c r="AN424" s="1660"/>
      <c r="AP424" s="1762" t="s">
        <v>32</v>
      </c>
      <c r="AQ424" s="1947" t="s">
        <v>2095</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1655</v>
      </c>
      <c r="D425" s="1660"/>
      <c r="E425" s="1660"/>
      <c r="F425" s="1660"/>
      <c r="G425" s="1660"/>
      <c r="H425" s="1660"/>
      <c r="I425" s="1660"/>
      <c r="J425" s="1661" t="s">
        <v>2096</v>
      </c>
      <c r="K425" s="1660"/>
      <c r="L425" s="1660"/>
      <c r="M425" s="1660"/>
      <c r="N425" s="2564"/>
      <c r="O425" s="2565"/>
      <c r="P425" s="2565"/>
      <c r="Q425" s="1660"/>
      <c r="R425" s="1660"/>
      <c r="S425" s="1660"/>
      <c r="AA425" s="2069" t="s">
        <v>52</v>
      </c>
      <c r="AB425" s="1631" t="s">
        <v>2097</v>
      </c>
      <c r="AC425" s="1660"/>
      <c r="AD425" s="1660"/>
      <c r="AE425" s="1660"/>
      <c r="AF425" s="1660"/>
      <c r="AG425" s="2070">
        <f>$M$37</f>
        <v>2</v>
      </c>
      <c r="AH425" s="2070">
        <f>$M$37</f>
        <v>2</v>
      </c>
      <c r="AI425" s="2070">
        <f>$M$37</f>
        <v>2</v>
      </c>
      <c r="AJ425" s="2070">
        <f>$M$37</f>
        <v>2</v>
      </c>
      <c r="AK425" s="1630" t="s">
        <v>2098</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52</v>
      </c>
      <c r="AQ425" s="1947" t="s">
        <v>2097</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1658</v>
      </c>
      <c r="D426" s="1660"/>
      <c r="E426" s="1660"/>
      <c r="F426" s="1660"/>
      <c r="G426" s="1660"/>
      <c r="H426" s="1660"/>
      <c r="I426" s="1660"/>
      <c r="J426" s="1660"/>
      <c r="K426" s="1660"/>
      <c r="L426" s="1660"/>
      <c r="M426" s="1660"/>
      <c r="N426" s="2564"/>
      <c r="O426" s="2565"/>
      <c r="P426" s="2565"/>
      <c r="Q426" s="1660"/>
      <c r="R426" s="1660"/>
      <c r="S426" s="1660"/>
      <c r="AA426" s="2069" t="s">
        <v>70</v>
      </c>
      <c r="AB426" s="1631" t="s">
        <v>2099</v>
      </c>
      <c r="AC426" s="1660"/>
      <c r="AD426" s="1660"/>
      <c r="AE426" s="1660"/>
      <c r="AF426" s="1660"/>
      <c r="AG426" s="2071">
        <f>$M$55</f>
        <v>5</v>
      </c>
      <c r="AH426" s="2070">
        <f>$M$55</f>
        <v>5</v>
      </c>
      <c r="AI426" s="2070">
        <f>$M$55</f>
        <v>5</v>
      </c>
      <c r="AJ426" s="2070">
        <f>$M$55</f>
        <v>5</v>
      </c>
      <c r="AK426" s="1660"/>
      <c r="AL426" s="1660"/>
      <c r="AM426" s="2564"/>
      <c r="AN426" s="1660"/>
      <c r="AP426" s="1762" t="s">
        <v>70</v>
      </c>
      <c r="AQ426" s="1947" t="s">
        <v>2099</v>
      </c>
      <c r="AR426" s="1953"/>
      <c r="AS426" s="1953"/>
      <c r="AT426" s="1953"/>
      <c r="AU426" s="1953"/>
      <c r="AV426" s="1956">
        <f>$O$55</f>
        <v>0</v>
      </c>
      <c r="AW426" s="1957">
        <f>$O$55</f>
        <v>0</v>
      </c>
      <c r="AX426" s="1958">
        <f>$O$55</f>
        <v>0</v>
      </c>
      <c r="AY426" s="1959">
        <f>$O$55</f>
        <v>0</v>
      </c>
      <c r="AZ426" s="1960">
        <f>$P$55</f>
        <v>0</v>
      </c>
      <c r="BA426" s="1961">
        <f>$P$55</f>
        <v>0</v>
      </c>
      <c r="BB426" s="1962">
        <f>$P$55</f>
        <v>0</v>
      </c>
      <c r="BC426" s="1963">
        <f>$P$55</f>
        <v>0</v>
      </c>
    </row>
    <row r="427" spans="2:58">
      <c r="B427" s="1660"/>
      <c r="C427" s="1662" t="s">
        <v>1660</v>
      </c>
      <c r="D427" s="1660"/>
      <c r="E427" s="1660"/>
      <c r="F427" s="1660"/>
      <c r="G427" s="1660"/>
      <c r="H427" s="1660"/>
      <c r="I427" s="1660"/>
      <c r="J427" s="1663" t="s">
        <v>2100</v>
      </c>
      <c r="K427" s="1660"/>
      <c r="L427" s="1660"/>
      <c r="M427" s="1660"/>
      <c r="N427" s="2564"/>
      <c r="O427" s="1663" t="s">
        <v>2101</v>
      </c>
      <c r="P427" s="2565"/>
      <c r="Q427" s="1660"/>
      <c r="R427" s="1660"/>
      <c r="S427" s="1660"/>
      <c r="AA427" s="2069" t="s">
        <v>79</v>
      </c>
      <c r="AB427" s="1631" t="s">
        <v>2102</v>
      </c>
      <c r="AC427" s="1660"/>
      <c r="AD427" s="1660"/>
      <c r="AE427" s="1660"/>
      <c r="AF427" s="1660"/>
      <c r="AG427" s="2070">
        <f>$M$89</f>
        <v>10</v>
      </c>
      <c r="AH427" s="2070">
        <f>$M$89</f>
        <v>10</v>
      </c>
      <c r="AI427" s="2070">
        <f>$M$89</f>
        <v>10</v>
      </c>
      <c r="AJ427" s="2070">
        <f>$M$89</f>
        <v>10</v>
      </c>
      <c r="AK427" s="1660"/>
      <c r="AL427" s="1660"/>
      <c r="AM427" s="2564"/>
      <c r="AN427" s="1660"/>
      <c r="AP427" s="1762" t="s">
        <v>79</v>
      </c>
      <c r="AQ427" s="1947" t="s">
        <v>2102</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1662</v>
      </c>
      <c r="D428" s="1660"/>
      <c r="E428" s="1660"/>
      <c r="F428" s="1660"/>
      <c r="G428" s="1660"/>
      <c r="H428" s="1660"/>
      <c r="I428" s="1660"/>
      <c r="J428" s="1661" t="s">
        <v>2103</v>
      </c>
      <c r="K428" s="1660"/>
      <c r="L428" s="1660"/>
      <c r="M428" s="1660"/>
      <c r="N428" s="2564"/>
      <c r="O428" s="2565"/>
      <c r="P428" s="2565"/>
      <c r="Q428" s="1660"/>
      <c r="R428" s="1660"/>
      <c r="S428" s="1660"/>
      <c r="AA428" s="2069" t="s">
        <v>81</v>
      </c>
      <c r="AB428" s="1631" t="s">
        <v>2104</v>
      </c>
      <c r="AC428" s="1660"/>
      <c r="AD428" s="1660"/>
      <c r="AE428" s="1660"/>
      <c r="AF428" s="1660"/>
      <c r="AG428" s="2070">
        <f>$M$100</f>
        <v>5</v>
      </c>
      <c r="AH428" s="2070">
        <f>$M$100</f>
        <v>5</v>
      </c>
      <c r="AI428" s="2070">
        <f>$M$100</f>
        <v>5</v>
      </c>
      <c r="AJ428" s="2070">
        <f>$M$100</f>
        <v>5</v>
      </c>
      <c r="AK428" s="3296" t="s">
        <v>2105</v>
      </c>
      <c r="AL428" s="3296"/>
      <c r="AM428" s="3296"/>
      <c r="AN428" s="3296"/>
      <c r="AP428" s="1762" t="s">
        <v>81</v>
      </c>
      <c r="AQ428" s="1947" t="s">
        <v>2104</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1664</v>
      </c>
      <c r="D429" s="1660"/>
      <c r="E429" s="1660"/>
      <c r="F429" s="1660"/>
      <c r="G429" s="1660"/>
      <c r="H429" s="1660"/>
      <c r="I429" s="1660"/>
      <c r="J429" s="1660" t="s">
        <v>2106</v>
      </c>
      <c r="K429" s="1660"/>
      <c r="L429" s="1660"/>
      <c r="M429" s="1660"/>
      <c r="N429" s="2564"/>
      <c r="O429" s="2565">
        <v>2</v>
      </c>
      <c r="P429" s="2565"/>
      <c r="Q429" s="1660"/>
      <c r="R429" s="1660"/>
      <c r="S429" s="1660"/>
      <c r="AA429" s="2069" t="s">
        <v>1475</v>
      </c>
      <c r="AB429" s="1660" t="s">
        <v>2107</v>
      </c>
      <c r="AC429" s="1660"/>
      <c r="AD429" s="1660"/>
      <c r="AE429" s="1660"/>
      <c r="AF429" s="1660"/>
      <c r="AG429" s="2070">
        <f>$M$117</f>
        <v>13</v>
      </c>
      <c r="AH429" s="2070">
        <f>$M$117</f>
        <v>13</v>
      </c>
      <c r="AI429" s="2070">
        <f>$M$117</f>
        <v>13</v>
      </c>
      <c r="AJ429" s="2070">
        <f>$M$117</f>
        <v>13</v>
      </c>
      <c r="AK429" s="3296"/>
      <c r="AL429" s="3296"/>
      <c r="AM429" s="3296"/>
      <c r="AN429" s="3296"/>
      <c r="AP429" s="1762" t="s">
        <v>1475</v>
      </c>
      <c r="AQ429" s="1947" t="s">
        <v>2107</v>
      </c>
      <c r="AR429" s="1953"/>
      <c r="AS429" s="1953"/>
      <c r="AT429" s="1953"/>
      <c r="AU429" s="1953"/>
      <c r="AV429" s="1948">
        <f>$O$117</f>
        <v>12</v>
      </c>
      <c r="AW429" s="1955">
        <f>$O$117</f>
        <v>12</v>
      </c>
      <c r="AX429" s="1948">
        <f>$O$117</f>
        <v>12</v>
      </c>
      <c r="AY429" s="1949">
        <f>$O$117</f>
        <v>12</v>
      </c>
      <c r="AZ429" s="1950">
        <f>$P$117</f>
        <v>0</v>
      </c>
      <c r="BA429" s="1951">
        <f>$P$117</f>
        <v>0</v>
      </c>
      <c r="BB429" s="1962">
        <f>$P$117</f>
        <v>0</v>
      </c>
      <c r="BC429" s="1963">
        <f>$P$117</f>
        <v>0</v>
      </c>
    </row>
    <row r="430" spans="2:58">
      <c r="B430" s="1660"/>
      <c r="C430" s="1660"/>
      <c r="D430" s="1660"/>
      <c r="E430" s="1660"/>
      <c r="F430" s="1660"/>
      <c r="G430" s="1660"/>
      <c r="H430" s="1660"/>
      <c r="I430" s="1660"/>
      <c r="J430" s="1660" t="s">
        <v>2108</v>
      </c>
      <c r="K430" s="1660"/>
      <c r="L430" s="1660"/>
      <c r="M430" s="1660"/>
      <c r="N430" s="2564"/>
      <c r="O430" s="2565">
        <v>2</v>
      </c>
      <c r="P430" s="2565"/>
      <c r="Q430" s="1660"/>
      <c r="R430" s="1660"/>
      <c r="S430" s="1660"/>
      <c r="AA430" s="2069" t="s">
        <v>1478</v>
      </c>
      <c r="AB430" s="1631" t="s">
        <v>2109</v>
      </c>
      <c r="AC430" s="1660"/>
      <c r="AD430" s="1660"/>
      <c r="AE430" s="1660"/>
      <c r="AF430" s="1660"/>
      <c r="AG430" s="2070">
        <f>$M$141</f>
        <v>3</v>
      </c>
      <c r="AH430" s="2070">
        <f>$M$141</f>
        <v>3</v>
      </c>
      <c r="AI430" s="2070">
        <f>$M$141</f>
        <v>3</v>
      </c>
      <c r="AJ430" s="2070">
        <f>$M$141</f>
        <v>3</v>
      </c>
      <c r="AK430" s="1631" t="s">
        <v>2110</v>
      </c>
      <c r="AL430" s="1631"/>
      <c r="AM430" s="1645"/>
      <c r="AN430" s="1645"/>
      <c r="AP430" s="1762" t="s">
        <v>1478</v>
      </c>
      <c r="AQ430" s="1947" t="s">
        <v>2109</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297" t="s">
        <v>2111</v>
      </c>
      <c r="H431" s="3297"/>
      <c r="I431" s="3297"/>
      <c r="J431" s="1660" t="s">
        <v>2112</v>
      </c>
      <c r="K431" s="1660"/>
      <c r="L431" s="1660"/>
      <c r="M431" s="1660"/>
      <c r="N431" s="2564"/>
      <c r="O431" s="2565">
        <v>2</v>
      </c>
      <c r="P431" s="2565"/>
      <c r="Q431" s="1660"/>
      <c r="R431" s="1660"/>
      <c r="S431" s="1660"/>
      <c r="AA431" s="2069" t="s">
        <v>1481</v>
      </c>
      <c r="AB431" s="1631" t="s">
        <v>2113</v>
      </c>
      <c r="AC431" s="1660"/>
      <c r="AD431" s="1660"/>
      <c r="AE431" s="1660"/>
      <c r="AF431" s="1660"/>
      <c r="AG431" s="2070">
        <f>$M$152</f>
        <v>2</v>
      </c>
      <c r="AH431" s="2070">
        <f>$M$152</f>
        <v>2</v>
      </c>
      <c r="AI431" s="2070">
        <f>$M$152</f>
        <v>2</v>
      </c>
      <c r="AJ431" s="2070">
        <f>$M$152</f>
        <v>2</v>
      </c>
      <c r="AK431" s="1631" t="s">
        <v>2114</v>
      </c>
      <c r="AL431" s="1631"/>
      <c r="AM431" s="1645"/>
      <c r="AN431" s="1645"/>
      <c r="AP431" s="1762" t="s">
        <v>1481</v>
      </c>
      <c r="AQ431" s="1947" t="s">
        <v>2113</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2115</v>
      </c>
      <c r="H432" s="1660" t="s">
        <v>2116</v>
      </c>
      <c r="I432" s="1664" t="s">
        <v>2117</v>
      </c>
      <c r="J432" s="1660" t="s">
        <v>2118</v>
      </c>
      <c r="K432" s="1660"/>
      <c r="L432" s="1664"/>
      <c r="M432" s="1660"/>
      <c r="N432" s="2564"/>
      <c r="O432" s="2565">
        <v>2</v>
      </c>
      <c r="P432" s="2565"/>
      <c r="Q432" s="1660"/>
      <c r="R432" s="1660"/>
      <c r="S432" s="1660"/>
      <c r="AA432" s="2069" t="s">
        <v>1489</v>
      </c>
      <c r="AB432" s="1631" t="s">
        <v>2051</v>
      </c>
      <c r="AC432" s="1660"/>
      <c r="AD432" s="1660"/>
      <c r="AE432" s="1660"/>
      <c r="AF432" s="1660"/>
      <c r="AG432" s="2070">
        <f>$M$160</f>
        <v>20</v>
      </c>
      <c r="AH432" s="2070">
        <f>$M$160</f>
        <v>20</v>
      </c>
      <c r="AI432" s="2070"/>
      <c r="AJ432" s="2070"/>
      <c r="AK432" s="1631" t="s">
        <v>2119</v>
      </c>
      <c r="AL432" s="1631"/>
      <c r="AM432" s="1645"/>
      <c r="AN432" s="1645"/>
      <c r="AP432" s="1762" t="s">
        <v>1489</v>
      </c>
      <c r="AQ432" s="1947" t="s">
        <v>2051</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2120</v>
      </c>
      <c r="H433" s="1660"/>
      <c r="I433" s="1666"/>
      <c r="J433" s="1660" t="s">
        <v>2121</v>
      </c>
      <c r="K433" s="1660"/>
      <c r="L433" s="1666"/>
      <c r="M433" s="1660"/>
      <c r="N433" s="2564"/>
      <c r="O433" s="2565">
        <v>2</v>
      </c>
      <c r="P433" s="2565"/>
      <c r="Q433" s="1660"/>
      <c r="R433" s="1660"/>
      <c r="S433" s="1660"/>
      <c r="AA433" s="2069" t="s">
        <v>1496</v>
      </c>
      <c r="AB433" s="1631" t="s">
        <v>2052</v>
      </c>
      <c r="AC433" s="1660"/>
      <c r="AD433" s="1660"/>
      <c r="AE433" s="1660"/>
      <c r="AF433" s="1660"/>
      <c r="AG433" s="2072">
        <f>$M$169</f>
        <v>6</v>
      </c>
      <c r="AH433" s="2072">
        <f>$M$169</f>
        <v>6</v>
      </c>
      <c r="AI433" s="2072"/>
      <c r="AJ433" s="2072"/>
      <c r="AK433" s="1631" t="s">
        <v>2122</v>
      </c>
      <c r="AL433" s="1631"/>
      <c r="AM433" s="1645" t="s">
        <v>2123</v>
      </c>
      <c r="AN433" s="1645" t="str">
        <f>IF('Part VII-Threshold Criteria'!$P$227="Agree","Yes","")</f>
        <v/>
      </c>
      <c r="AP433" s="1762" t="s">
        <v>1496</v>
      </c>
      <c r="AQ433" s="1947" t="s">
        <v>2052</v>
      </c>
      <c r="AR433" s="1953"/>
      <c r="AS433" s="1953"/>
      <c r="AT433" s="1953"/>
      <c r="AU433" s="1953"/>
      <c r="AV433" s="1956">
        <f>$O$169</f>
        <v>2</v>
      </c>
      <c r="AW433" s="1957">
        <f>$O$169</f>
        <v>2</v>
      </c>
      <c r="AX433" s="1966"/>
      <c r="AY433" s="1967"/>
      <c r="AZ433" s="1960">
        <f>$P$169</f>
        <v>0</v>
      </c>
      <c r="BA433" s="1961">
        <f>$P$169</f>
        <v>0</v>
      </c>
      <c r="BB433" s="1968"/>
      <c r="BC433" s="1969"/>
    </row>
    <row r="434" spans="1:55">
      <c r="B434" s="1660"/>
      <c r="C434" s="1665"/>
      <c r="D434" s="1660"/>
      <c r="E434" s="1660"/>
      <c r="F434" s="1660"/>
      <c r="G434" s="1666" t="s">
        <v>2124</v>
      </c>
      <c r="H434" s="2564" t="s">
        <v>2125</v>
      </c>
      <c r="I434" s="1664" t="s">
        <v>1108</v>
      </c>
      <c r="J434" s="1660" t="s">
        <v>2126</v>
      </c>
      <c r="K434" s="1660"/>
      <c r="L434" s="1665"/>
      <c r="M434" s="1660"/>
      <c r="N434" s="2564"/>
      <c r="O434" s="2565">
        <v>1</v>
      </c>
      <c r="P434" s="2565"/>
      <c r="Q434" s="1660"/>
      <c r="R434" s="1660"/>
      <c r="S434" s="1660"/>
      <c r="AA434" s="2069" t="s">
        <v>1518</v>
      </c>
      <c r="AB434" s="1631" t="s">
        <v>2053</v>
      </c>
      <c r="AC434" s="1660"/>
      <c r="AD434" s="1660"/>
      <c r="AE434" s="1660"/>
      <c r="AF434" s="1660"/>
      <c r="AG434" s="2070">
        <f>$M$190</f>
        <v>3</v>
      </c>
      <c r="AH434" s="2070">
        <f>$M$190</f>
        <v>3</v>
      </c>
      <c r="AI434" s="2070"/>
      <c r="AJ434" s="2070"/>
      <c r="AK434" s="1660"/>
      <c r="AL434" s="1631"/>
      <c r="AM434" s="1645" t="s">
        <v>2127</v>
      </c>
      <c r="AN434" s="1645" t="str">
        <f>IF('Part VII-Threshold Criteria'!$P$230="Agree","Yes","")</f>
        <v/>
      </c>
      <c r="AP434" s="1762" t="s">
        <v>1518</v>
      </c>
      <c r="AQ434" s="1947" t="s">
        <v>2053</v>
      </c>
      <c r="AR434" s="1953"/>
      <c r="AS434" s="1953"/>
      <c r="AT434" s="1953"/>
      <c r="AU434" s="1953"/>
      <c r="AV434" s="1956">
        <f>$O$190</f>
        <v>3</v>
      </c>
      <c r="AW434" s="1957">
        <f>$O$190</f>
        <v>3</v>
      </c>
      <c r="AX434" s="1966"/>
      <c r="AY434" s="1967"/>
      <c r="AZ434" s="1960">
        <f>$P$190</f>
        <v>0</v>
      </c>
      <c r="BA434" s="1961">
        <f>$P$190</f>
        <v>0</v>
      </c>
      <c r="BB434" s="1968"/>
      <c r="BC434" s="1969"/>
    </row>
    <row r="435" spans="1:55">
      <c r="B435" s="1660"/>
      <c r="C435" s="1665"/>
      <c r="D435" s="1660"/>
      <c r="E435" s="1660"/>
      <c r="F435" s="1660"/>
      <c r="G435" s="1666" t="s">
        <v>2128</v>
      </c>
      <c r="H435" s="2564">
        <v>2020</v>
      </c>
      <c r="I435" s="2564" t="s">
        <v>2129</v>
      </c>
      <c r="J435" s="1660" t="s">
        <v>2130</v>
      </c>
      <c r="K435" s="1660"/>
      <c r="L435" s="1665"/>
      <c r="M435" s="1660"/>
      <c r="N435" s="2564"/>
      <c r="O435" s="2565">
        <v>1</v>
      </c>
      <c r="P435" s="2565"/>
      <c r="Q435" s="1660"/>
      <c r="R435" s="1660"/>
      <c r="S435" s="1660"/>
      <c r="AA435" s="2069" t="s">
        <v>1535</v>
      </c>
      <c r="AB435" s="1631" t="s">
        <v>2004</v>
      </c>
      <c r="AC435" s="1660"/>
      <c r="AD435" s="1660"/>
      <c r="AE435" s="1660"/>
      <c r="AF435" s="1660"/>
      <c r="AG435" s="2070">
        <f>$M$206</f>
        <v>10</v>
      </c>
      <c r="AH435" s="2070">
        <f>$M$206</f>
        <v>10</v>
      </c>
      <c r="AI435" s="2070"/>
      <c r="AJ435" s="2070"/>
      <c r="AK435" s="1631"/>
      <c r="AL435" s="1631"/>
      <c r="AM435" s="1645" t="s">
        <v>2131</v>
      </c>
      <c r="AN435" s="1645" t="str">
        <f>IF('Part VII-Threshold Criteria'!$P$231="Agree","Yes","")</f>
        <v/>
      </c>
      <c r="AP435" s="1762" t="s">
        <v>1535</v>
      </c>
      <c r="AQ435" s="1947" t="s">
        <v>2004</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2132</v>
      </c>
      <c r="H436" s="2564" t="s">
        <v>2133</v>
      </c>
      <c r="I436" s="1664" t="s">
        <v>1108</v>
      </c>
      <c r="J436" s="1660" t="s">
        <v>2134</v>
      </c>
      <c r="K436" s="1660"/>
      <c r="L436" s="1665"/>
      <c r="M436" s="1660"/>
      <c r="N436" s="2564"/>
      <c r="O436" s="2565">
        <v>1</v>
      </c>
      <c r="P436" s="2565"/>
      <c r="Q436" s="1660"/>
      <c r="R436" s="1660"/>
      <c r="S436" s="1660"/>
      <c r="AA436" s="2069" t="s">
        <v>1527</v>
      </c>
      <c r="AB436" s="1631" t="s">
        <v>1750</v>
      </c>
      <c r="AC436" s="1660"/>
      <c r="AD436" s="1660"/>
      <c r="AE436" s="1660"/>
      <c r="AF436" s="1660"/>
      <c r="AG436" s="2070">
        <f>$M$238</f>
        <v>10</v>
      </c>
      <c r="AH436" s="2070">
        <f>$M$238</f>
        <v>10</v>
      </c>
      <c r="AI436" s="2070"/>
      <c r="AJ436" s="2070"/>
      <c r="AK436" s="1631"/>
      <c r="AL436" s="1631"/>
      <c r="AM436" s="1645" t="s">
        <v>2135</v>
      </c>
      <c r="AN436" s="1645" t="str">
        <f>IF('Part VII-Threshold Criteria'!$P$232="Agree","Yes","")</f>
        <v/>
      </c>
      <c r="AP436" s="1762" t="s">
        <v>1527</v>
      </c>
      <c r="AQ436" s="1947" t="s">
        <v>1750</v>
      </c>
      <c r="AR436" s="1953"/>
      <c r="AS436" s="1953"/>
      <c r="AT436" s="1953"/>
      <c r="AU436" s="1953"/>
      <c r="AV436" s="1948">
        <f>$O$238</f>
        <v>10</v>
      </c>
      <c r="AW436" s="1955">
        <f>$O$238</f>
        <v>10</v>
      </c>
      <c r="AX436" s="1970"/>
      <c r="AY436" s="1971"/>
      <c r="AZ436" s="1950">
        <f>$P$238</f>
        <v>0</v>
      </c>
      <c r="BA436" s="1951">
        <f>$P$238</f>
        <v>0</v>
      </c>
      <c r="BB436" s="1972"/>
      <c r="BC436" s="1973"/>
    </row>
    <row r="437" spans="1:55">
      <c r="B437" s="1660"/>
      <c r="C437" s="1665"/>
      <c r="D437" s="1660"/>
      <c r="E437" s="1660"/>
      <c r="F437" s="1660"/>
      <c r="G437" s="1666" t="s">
        <v>2136</v>
      </c>
      <c r="H437" s="2564">
        <v>2020</v>
      </c>
      <c r="I437" s="2564" t="s">
        <v>2129</v>
      </c>
      <c r="J437" s="1660" t="s">
        <v>2137</v>
      </c>
      <c r="K437" s="1660"/>
      <c r="L437" s="1665"/>
      <c r="M437" s="1660"/>
      <c r="N437" s="2564"/>
      <c r="O437" s="2565">
        <v>1</v>
      </c>
      <c r="P437" s="2565"/>
      <c r="Q437" s="1660"/>
      <c r="R437" s="1660"/>
      <c r="S437" s="1660"/>
      <c r="AA437" s="2069" t="s">
        <v>1535</v>
      </c>
      <c r="AB437" s="1631" t="s">
        <v>2056</v>
      </c>
      <c r="AC437" s="1660"/>
      <c r="AD437" s="1660"/>
      <c r="AE437" s="1660"/>
      <c r="AF437" s="1660"/>
      <c r="AG437" s="2070">
        <f>$M$265</f>
        <v>10</v>
      </c>
      <c r="AH437" s="2070">
        <f>$M$265</f>
        <v>10</v>
      </c>
      <c r="AI437" s="2070"/>
      <c r="AJ437" s="2070"/>
      <c r="AK437" s="1631" t="s">
        <v>2138</v>
      </c>
      <c r="AL437" s="1631"/>
      <c r="AM437" s="1645"/>
      <c r="AN437" s="1645"/>
      <c r="AP437" s="1762" t="s">
        <v>1535</v>
      </c>
      <c r="AQ437" s="1947" t="s">
        <v>2056</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2139</v>
      </c>
      <c r="H438" s="2564">
        <v>2019</v>
      </c>
      <c r="I438" s="2564" t="s">
        <v>2129</v>
      </c>
      <c r="J438" s="1660" t="s">
        <v>2140</v>
      </c>
      <c r="K438" s="1660"/>
      <c r="L438" s="1665"/>
      <c r="M438" s="1660"/>
      <c r="N438" s="2564"/>
      <c r="O438" s="2565">
        <v>1</v>
      </c>
      <c r="P438" s="2565"/>
      <c r="Q438" s="1660"/>
      <c r="R438" s="1660"/>
      <c r="S438" s="1660"/>
      <c r="AA438" s="2069" t="s">
        <v>1556</v>
      </c>
      <c r="AB438" s="1631" t="s">
        <v>2141</v>
      </c>
      <c r="AC438" s="1660"/>
      <c r="AD438" s="1660"/>
      <c r="AE438" s="1660"/>
      <c r="AF438" s="1660"/>
      <c r="AG438" s="2070">
        <f>$M$274</f>
        <v>4</v>
      </c>
      <c r="AH438" s="2070">
        <f>$M$274</f>
        <v>4</v>
      </c>
      <c r="AI438" s="2070"/>
      <c r="AJ438" s="2070"/>
      <c r="AK438" s="1631" t="s">
        <v>2142</v>
      </c>
      <c r="AL438" s="1631"/>
      <c r="AM438" s="1645"/>
      <c r="AN438" s="1645"/>
      <c r="AP438" s="1762" t="s">
        <v>1556</v>
      </c>
      <c r="AQ438" s="1947" t="s">
        <v>2141</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2143</v>
      </c>
      <c r="H439" s="2564" t="s">
        <v>2133</v>
      </c>
      <c r="I439" s="1664" t="s">
        <v>1108</v>
      </c>
      <c r="J439" s="1660" t="s">
        <v>2144</v>
      </c>
      <c r="K439" s="1660"/>
      <c r="L439" s="1665"/>
      <c r="M439" s="1660"/>
      <c r="N439" s="2564"/>
      <c r="O439" s="2565">
        <v>1</v>
      </c>
      <c r="P439" s="2565"/>
      <c r="Q439" s="1660"/>
      <c r="R439" s="1660"/>
      <c r="S439" s="1660"/>
      <c r="AA439" s="2069" t="s">
        <v>1566</v>
      </c>
      <c r="AB439" s="1631" t="s">
        <v>2145</v>
      </c>
      <c r="AC439" s="1660"/>
      <c r="AD439" s="1660"/>
      <c r="AE439" s="1660"/>
      <c r="AF439" s="1660"/>
      <c r="AG439" s="2070">
        <f>$M$286</f>
        <v>5</v>
      </c>
      <c r="AH439" s="2070"/>
      <c r="AI439" s="2070"/>
      <c r="AJ439" s="2070"/>
      <c r="AK439" s="1631" t="s">
        <v>2146</v>
      </c>
      <c r="AL439" s="1631"/>
      <c r="AM439" s="1645"/>
      <c r="AN439" s="2563" t="str">
        <f>'Part II-Sources of Funds'!$L$14</f>
        <v>No</v>
      </c>
      <c r="AP439" s="1762" t="s">
        <v>1566</v>
      </c>
      <c r="AQ439" s="1947" t="s">
        <v>2145</v>
      </c>
      <c r="AR439" s="1953"/>
      <c r="AS439" s="1953"/>
      <c r="AT439" s="1953"/>
      <c r="AU439" s="1953"/>
      <c r="AV439" s="1948">
        <f>$O$286</f>
        <v>3</v>
      </c>
      <c r="AW439" s="1974"/>
      <c r="AX439" s="1975"/>
      <c r="AY439" s="1971"/>
      <c r="AZ439" s="1950">
        <f>$P$286</f>
        <v>0</v>
      </c>
      <c r="BA439" s="1976"/>
      <c r="BB439" s="1977"/>
      <c r="BC439" s="1973"/>
    </row>
    <row r="440" spans="1:55">
      <c r="B440" s="1660"/>
      <c r="C440" s="1665"/>
      <c r="D440" s="1660"/>
      <c r="E440" s="1660"/>
      <c r="F440" s="1660"/>
      <c r="G440" s="1666" t="s">
        <v>2147</v>
      </c>
      <c r="H440" s="2564">
        <v>2020</v>
      </c>
      <c r="I440" s="2564" t="s">
        <v>2129</v>
      </c>
      <c r="J440" s="1660" t="s">
        <v>2148</v>
      </c>
      <c r="K440" s="1660"/>
      <c r="L440" s="1665"/>
      <c r="M440" s="1660"/>
      <c r="N440" s="2564"/>
      <c r="O440" s="2565">
        <v>1</v>
      </c>
      <c r="P440" s="2565"/>
      <c r="Q440" s="1660"/>
      <c r="R440" s="1660"/>
      <c r="S440" s="1660"/>
      <c r="AA440" s="2069" t="s">
        <v>1577</v>
      </c>
      <c r="AB440" s="1660" t="s">
        <v>2149</v>
      </c>
      <c r="AC440" s="1660"/>
      <c r="AD440" s="1660"/>
      <c r="AE440" s="1660"/>
      <c r="AF440" s="1660"/>
      <c r="AG440" s="2070">
        <f>$M$303</f>
        <v>10</v>
      </c>
      <c r="AH440" s="2070"/>
      <c r="AI440" s="2070"/>
      <c r="AJ440" s="2070"/>
      <c r="AK440" s="1660"/>
      <c r="AL440" s="1660"/>
      <c r="AM440" s="2564"/>
      <c r="AN440" s="1660"/>
      <c r="AP440" s="1762" t="s">
        <v>1577</v>
      </c>
      <c r="AQ440" s="1947" t="s">
        <v>2149</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2150</v>
      </c>
      <c r="H441" s="2564" t="s">
        <v>2125</v>
      </c>
      <c r="I441" s="1664" t="s">
        <v>1108</v>
      </c>
      <c r="J441" s="1660" t="s">
        <v>2151</v>
      </c>
      <c r="K441" s="1660"/>
      <c r="L441" s="1665"/>
      <c r="M441" s="1660"/>
      <c r="N441" s="2564"/>
      <c r="O441" s="2565">
        <v>1</v>
      </c>
      <c r="P441" s="2565"/>
      <c r="Q441" s="1660"/>
      <c r="R441" s="1660"/>
      <c r="S441" s="1660"/>
      <c r="AA441" s="2069" t="s">
        <v>1590</v>
      </c>
      <c r="AB441" s="1660" t="s">
        <v>2152</v>
      </c>
      <c r="AC441" s="1660"/>
      <c r="AD441" s="1660"/>
      <c r="AE441" s="1660"/>
      <c r="AF441" s="1660"/>
      <c r="AG441" s="2070">
        <f>$M$317</f>
        <v>1</v>
      </c>
      <c r="AH441" s="2070"/>
      <c r="AI441" s="2070"/>
      <c r="AJ441" s="2070"/>
      <c r="AK441" s="1660"/>
      <c r="AL441" s="1660"/>
      <c r="AM441" s="2564"/>
      <c r="AN441" s="1660"/>
      <c r="AP441" s="1762" t="s">
        <v>1590</v>
      </c>
      <c r="AQ441" s="1947" t="s">
        <v>2152</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2153</v>
      </c>
      <c r="H442" s="2564" t="s">
        <v>2125</v>
      </c>
      <c r="I442" s="1664" t="s">
        <v>1108</v>
      </c>
      <c r="J442" s="1660" t="s">
        <v>2154</v>
      </c>
      <c r="K442" s="1660"/>
      <c r="L442" s="1665"/>
      <c r="M442" s="1660"/>
      <c r="N442" s="2564"/>
      <c r="O442" s="2565">
        <v>1</v>
      </c>
      <c r="P442" s="2565"/>
      <c r="Q442" s="1660"/>
      <c r="R442" s="1660"/>
      <c r="S442" s="1660"/>
      <c r="AA442" s="2069" t="s">
        <v>1595</v>
      </c>
      <c r="AB442" s="1631" t="s">
        <v>2155</v>
      </c>
      <c r="AC442" s="1660"/>
      <c r="AD442" s="1660"/>
      <c r="AE442" s="1660"/>
      <c r="AF442" s="1660"/>
      <c r="AG442" s="2070">
        <f>$M$331</f>
        <v>1</v>
      </c>
      <c r="AH442" s="2070"/>
      <c r="AI442" s="2070"/>
      <c r="AJ442" s="2070"/>
      <c r="AK442" s="1660"/>
      <c r="AL442" s="1660"/>
      <c r="AM442" s="2564"/>
      <c r="AN442" s="1660"/>
      <c r="AP442" s="1762" t="s">
        <v>1595</v>
      </c>
      <c r="AQ442" s="1947" t="s">
        <v>2155</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2156</v>
      </c>
      <c r="H443" s="2564">
        <v>2019</v>
      </c>
      <c r="I443" s="2564" t="s">
        <v>2129</v>
      </c>
      <c r="J443" s="1660" t="s">
        <v>2157</v>
      </c>
      <c r="K443" s="1660"/>
      <c r="L443" s="1665"/>
      <c r="M443" s="1660"/>
      <c r="N443" s="2564"/>
      <c r="O443" s="2565">
        <v>1</v>
      </c>
      <c r="P443" s="2565"/>
      <c r="Q443" s="1660"/>
      <c r="R443" s="1660"/>
      <c r="S443" s="1660"/>
      <c r="AA443" s="2069" t="s">
        <v>1601</v>
      </c>
      <c r="AB443" s="1631" t="s">
        <v>2158</v>
      </c>
      <c r="AC443" s="1660"/>
      <c r="AD443" s="1660"/>
      <c r="AE443" s="1660"/>
      <c r="AF443" s="1660"/>
      <c r="AG443" s="2070">
        <f>$M$339</f>
        <v>2</v>
      </c>
      <c r="AH443" s="2070"/>
      <c r="AI443" s="2070"/>
      <c r="AJ443" s="2070"/>
      <c r="AK443" s="1660"/>
      <c r="AL443" s="1660"/>
      <c r="AM443" s="2564"/>
      <c r="AN443" s="1660"/>
      <c r="AP443" s="1762" t="s">
        <v>1601</v>
      </c>
      <c r="AQ443" s="1947" t="s">
        <v>2158</v>
      </c>
      <c r="AR443" s="1953"/>
      <c r="AS443" s="1953"/>
      <c r="AT443" s="1953"/>
      <c r="AU443" s="1953"/>
      <c r="AV443" s="1948">
        <f>$O$339</f>
        <v>0</v>
      </c>
      <c r="AW443" s="1978"/>
      <c r="AX443" s="1970"/>
      <c r="AY443" s="1971"/>
      <c r="AZ443" s="1950">
        <f>$P$339</f>
        <v>0</v>
      </c>
      <c r="BA443" s="1973"/>
      <c r="BB443" s="1972"/>
      <c r="BC443" s="1973"/>
    </row>
    <row r="444" spans="1:55">
      <c r="A444" s="1660" t="s">
        <v>2159</v>
      </c>
      <c r="B444" s="1660"/>
      <c r="C444" s="1660"/>
      <c r="D444" s="1660"/>
      <c r="E444" s="1660"/>
      <c r="F444" s="1660"/>
      <c r="G444" s="1666" t="s">
        <v>2160</v>
      </c>
      <c r="H444" s="2564" t="s">
        <v>2125</v>
      </c>
      <c r="I444" s="1664" t="s">
        <v>1108</v>
      </c>
      <c r="J444" s="1660" t="s">
        <v>2161</v>
      </c>
      <c r="K444" s="1660"/>
      <c r="L444" s="1665"/>
      <c r="M444" s="1660"/>
      <c r="N444" s="2564"/>
      <c r="O444" s="2565">
        <v>1</v>
      </c>
      <c r="P444" s="2565"/>
      <c r="Q444" s="1660"/>
      <c r="R444" s="1660"/>
      <c r="S444" s="1660"/>
      <c r="AA444" s="2069" t="s">
        <v>1608</v>
      </c>
      <c r="AB444" s="1631" t="s">
        <v>2162</v>
      </c>
      <c r="AC444" s="1660"/>
      <c r="AD444" s="1660"/>
      <c r="AE444" s="1660"/>
      <c r="AF444" s="1660"/>
      <c r="AG444" s="2070">
        <f>$M$350</f>
        <v>2</v>
      </c>
      <c r="AH444" s="2070"/>
      <c r="AI444" s="2071">
        <f>$M$350</f>
        <v>2</v>
      </c>
      <c r="AJ444" s="2070"/>
      <c r="AK444" s="1660"/>
      <c r="AL444" s="1660"/>
      <c r="AM444" s="2564"/>
      <c r="AN444" s="1660"/>
      <c r="AP444" s="1762" t="s">
        <v>1608</v>
      </c>
      <c r="AQ444" s="1947" t="s">
        <v>2162</v>
      </c>
      <c r="AR444" s="1953"/>
      <c r="AS444" s="1953"/>
      <c r="AT444" s="1953"/>
      <c r="AU444" s="1953"/>
      <c r="AV444" s="1948">
        <f>$O$350</f>
        <v>2</v>
      </c>
      <c r="AW444" s="1978"/>
      <c r="AX444" s="1948">
        <f>$O$350</f>
        <v>2</v>
      </c>
      <c r="AY444" s="1971"/>
      <c r="AZ444" s="1950">
        <f>$P$350</f>
        <v>0</v>
      </c>
      <c r="BA444" s="1973"/>
      <c r="BB444" s="1952">
        <f>$P$350</f>
        <v>0</v>
      </c>
      <c r="BC444" s="1973"/>
    </row>
    <row r="445" spans="1:55">
      <c r="A445" s="1660" t="s">
        <v>2163</v>
      </c>
      <c r="B445" s="1660"/>
      <c r="C445" s="1660"/>
      <c r="D445" s="1660"/>
      <c r="E445" s="1660"/>
      <c r="F445" s="1660"/>
      <c r="G445" s="1666" t="s">
        <v>2164</v>
      </c>
      <c r="H445" s="2564">
        <v>2019</v>
      </c>
      <c r="I445" s="2564" t="s">
        <v>2129</v>
      </c>
      <c r="J445" s="1660" t="s">
        <v>2165</v>
      </c>
      <c r="K445" s="1660"/>
      <c r="L445" s="1665"/>
      <c r="M445" s="1660"/>
      <c r="N445" s="2564"/>
      <c r="O445" s="2565">
        <v>1</v>
      </c>
      <c r="P445" s="2565"/>
      <c r="Q445" s="1660"/>
      <c r="R445" s="1660"/>
      <c r="S445" s="1660"/>
      <c r="AA445" s="2069" t="s">
        <v>1613</v>
      </c>
      <c r="AB445" s="1631" t="s">
        <v>2166</v>
      </c>
      <c r="AC445" s="1660"/>
      <c r="AD445" s="1660"/>
      <c r="AE445" s="1660"/>
      <c r="AF445" s="1660"/>
      <c r="AG445" s="2070">
        <f>$M$359</f>
        <v>2</v>
      </c>
      <c r="AH445" s="2070"/>
      <c r="AI445" s="2071">
        <f>$M$359</f>
        <v>2</v>
      </c>
      <c r="AJ445" s="2070"/>
      <c r="AK445" s="1660"/>
      <c r="AL445" s="1660"/>
      <c r="AM445" s="2564"/>
      <c r="AN445" s="1660"/>
      <c r="AP445" s="1762" t="s">
        <v>1613</v>
      </c>
      <c r="AQ445" s="1947" t="s">
        <v>2166</v>
      </c>
      <c r="AR445" s="1953"/>
      <c r="AS445" s="1953"/>
      <c r="AT445" s="1953"/>
      <c r="AU445" s="1953"/>
      <c r="AV445" s="1948">
        <f>$O$359</f>
        <v>0</v>
      </c>
      <c r="AW445" s="1978"/>
      <c r="AX445" s="1948">
        <f>$O$359</f>
        <v>0</v>
      </c>
      <c r="AY445" s="1971"/>
      <c r="AZ445" s="1950">
        <f>$P$359</f>
        <v>0</v>
      </c>
      <c r="BA445" s="1973"/>
      <c r="BB445" s="1952">
        <f>$P$359</f>
        <v>0</v>
      </c>
      <c r="BC445" s="1973"/>
    </row>
    <row r="446" spans="1:55">
      <c r="A446" s="1665" t="s">
        <v>2167</v>
      </c>
      <c r="B446" s="1660"/>
      <c r="C446" s="1660"/>
      <c r="D446" s="1665"/>
      <c r="E446" s="1665">
        <v>3</v>
      </c>
      <c r="F446" s="1660"/>
      <c r="G446" s="1666" t="s">
        <v>2168</v>
      </c>
      <c r="H446" s="2564">
        <v>2019</v>
      </c>
      <c r="I446" s="2564" t="s">
        <v>2129</v>
      </c>
      <c r="J446" s="1660"/>
      <c r="K446" s="1660"/>
      <c r="L446" s="1665"/>
      <c r="M446" s="1660"/>
      <c r="N446" s="2564"/>
      <c r="O446" s="2565"/>
      <c r="P446" s="2565"/>
      <c r="Q446" s="1660"/>
      <c r="R446" s="1660"/>
      <c r="S446" s="1660"/>
      <c r="AA446" s="2069" t="s">
        <v>1620</v>
      </c>
      <c r="AB446" s="1660" t="s">
        <v>2169</v>
      </c>
      <c r="AC446" s="1660"/>
      <c r="AD446" s="1660"/>
      <c r="AE446" s="1660"/>
      <c r="AF446" s="1660"/>
      <c r="AG446" s="2070"/>
      <c r="AH446" s="2070"/>
      <c r="AI446" s="2070">
        <f>$M$368</f>
        <v>0</v>
      </c>
      <c r="AJ446" s="2070">
        <f>$M$368</f>
        <v>0</v>
      </c>
      <c r="AK446" s="1660"/>
      <c r="AL446" s="1660"/>
      <c r="AM446" s="2564"/>
      <c r="AN446" s="1660"/>
      <c r="AP446" s="1762" t="s">
        <v>1620</v>
      </c>
      <c r="AQ446" s="1947" t="s">
        <v>2169</v>
      </c>
      <c r="AR446" s="1953"/>
      <c r="AS446" s="1953"/>
      <c r="AT446" s="1953"/>
      <c r="AU446" s="1953"/>
      <c r="AV446" s="1975"/>
      <c r="AW446" s="1974"/>
      <c r="AX446" s="1948">
        <f>$O$368</f>
        <v>0</v>
      </c>
      <c r="AY446" s="1949">
        <f>$O$368</f>
        <v>0</v>
      </c>
      <c r="AZ446" s="1979"/>
      <c r="BA446" s="1976"/>
      <c r="BB446" s="1952">
        <f>$P$368</f>
        <v>0</v>
      </c>
      <c r="BC446" s="1951">
        <f>$P$368</f>
        <v>0</v>
      </c>
    </row>
    <row r="447" spans="1:55">
      <c r="A447" s="1665" t="s">
        <v>2170</v>
      </c>
      <c r="B447" s="1660"/>
      <c r="C447" s="1660"/>
      <c r="D447" s="1665"/>
      <c r="E447" s="1665">
        <v>2</v>
      </c>
      <c r="F447" s="1660"/>
      <c r="G447" s="1666" t="s">
        <v>148</v>
      </c>
      <c r="H447" s="2564">
        <v>2019</v>
      </c>
      <c r="I447" s="2564" t="s">
        <v>2129</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2171</v>
      </c>
      <c r="B448" s="1660"/>
      <c r="C448" s="1660"/>
      <c r="D448" s="1665"/>
      <c r="E448" s="1665">
        <v>10</v>
      </c>
      <c r="F448" s="1660"/>
      <c r="G448" s="1666" t="s">
        <v>2172</v>
      </c>
      <c r="H448" s="2564">
        <v>2019</v>
      </c>
      <c r="I448" s="2564" t="s">
        <v>2129</v>
      </c>
      <c r="J448" s="1667" t="s">
        <v>2173</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2174</v>
      </c>
      <c r="B449" s="1660"/>
      <c r="C449" s="1660"/>
      <c r="D449" s="1665"/>
      <c r="E449" s="1665"/>
      <c r="F449" s="1660"/>
      <c r="G449" s="1666" t="s">
        <v>2175</v>
      </c>
      <c r="H449" s="2564">
        <v>2019</v>
      </c>
      <c r="I449" s="2564" t="s">
        <v>2129</v>
      </c>
      <c r="J449" s="1660" t="s">
        <v>1723</v>
      </c>
      <c r="K449" s="1660"/>
      <c r="L449" s="1665"/>
      <c r="M449" s="1660"/>
      <c r="N449" s="2564"/>
      <c r="O449" s="2565"/>
      <c r="P449" s="2565"/>
      <c r="Q449" s="1660"/>
      <c r="R449" s="1660"/>
      <c r="S449" s="1660"/>
      <c r="AA449" s="1631"/>
      <c r="AB449" s="2073"/>
      <c r="AC449" s="1631"/>
      <c r="AD449" s="1630" t="s">
        <v>2176</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80</v>
      </c>
      <c r="AW449" s="1991">
        <f>IF(AND($O$12="4%",($C$12-$A$12)&gt;0),(SUM(AW423:AW447)-($C$12-$A$12)),SUM(AW423:AW447))</f>
        <v>73</v>
      </c>
      <c r="AX449" s="1991">
        <f>IF(AND($O$12="4%",($C$12-$A$12)&gt;0),(SUM(AX423:AX447)-($C$12-$A$12)),SUM(AX423:AX447))</f>
        <v>40</v>
      </c>
      <c r="AY449" s="1991">
        <f>SUM(AY423:AY447)</f>
        <v>38</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2177</v>
      </c>
      <c r="H450" s="2564">
        <v>2020</v>
      </c>
      <c r="I450" s="2564" t="s">
        <v>2129</v>
      </c>
      <c r="J450" s="1660" t="s">
        <v>2178</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2179</v>
      </c>
      <c r="H451" s="2564">
        <v>2020</v>
      </c>
      <c r="I451" s="2564" t="s">
        <v>2129</v>
      </c>
      <c r="J451" s="1660" t="s">
        <v>1533</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2180</v>
      </c>
      <c r="H452" s="2564" t="s">
        <v>2125</v>
      </c>
      <c r="I452" s="1664" t="s">
        <v>1108</v>
      </c>
      <c r="J452" s="1660" t="s">
        <v>2181</v>
      </c>
      <c r="K452" s="1660"/>
      <c r="L452" s="1665"/>
      <c r="M452" s="1660"/>
      <c r="N452" s="2564"/>
      <c r="O452" s="2565"/>
      <c r="P452" s="2565"/>
      <c r="Q452" s="1660"/>
      <c r="R452" s="1660"/>
      <c r="S452" s="1660"/>
      <c r="AM452" s="2553"/>
    </row>
    <row r="453" spans="1:55">
      <c r="B453" s="1660"/>
      <c r="C453" s="1665"/>
      <c r="D453" s="1660"/>
      <c r="E453" s="1660"/>
      <c r="F453" s="1660"/>
      <c r="G453" s="1666" t="s">
        <v>2182</v>
      </c>
      <c r="H453" s="2564">
        <v>2019</v>
      </c>
      <c r="I453" s="2564" t="s">
        <v>2129</v>
      </c>
      <c r="J453" s="1660" t="s">
        <v>1725</v>
      </c>
      <c r="K453" s="1660"/>
      <c r="L453" s="1665"/>
      <c r="M453" s="1660"/>
      <c r="N453" s="2564"/>
      <c r="O453" s="2565"/>
      <c r="P453" s="2565"/>
      <c r="Q453" s="1660"/>
      <c r="R453" s="1660"/>
      <c r="S453" s="1660"/>
      <c r="AM453" s="2553"/>
    </row>
    <row r="454" spans="1:55">
      <c r="B454" s="1660"/>
      <c r="C454" s="1660"/>
      <c r="D454" s="1660"/>
      <c r="E454" s="1660"/>
      <c r="F454" s="1660"/>
      <c r="G454" s="1666" t="s">
        <v>2183</v>
      </c>
      <c r="H454" s="2564">
        <v>2019</v>
      </c>
      <c r="I454" s="2564" t="s">
        <v>2129</v>
      </c>
      <c r="J454" s="1660" t="s">
        <v>2184</v>
      </c>
      <c r="K454" s="1660"/>
      <c r="L454" s="1665"/>
      <c r="M454" s="1660"/>
      <c r="N454" s="2564"/>
      <c r="O454" s="2565"/>
      <c r="P454" s="2565"/>
      <c r="Q454" s="1660"/>
      <c r="R454" s="1660"/>
      <c r="S454" s="1660"/>
      <c r="AM454" s="2553"/>
    </row>
    <row r="455" spans="1:55">
      <c r="B455" s="1660"/>
      <c r="C455" s="1660"/>
      <c r="D455" s="1660"/>
      <c r="E455" s="1660"/>
      <c r="F455" s="1660"/>
      <c r="G455" s="1666" t="s">
        <v>2185</v>
      </c>
      <c r="H455" s="2564">
        <v>2019</v>
      </c>
      <c r="I455" s="2564" t="s">
        <v>2129</v>
      </c>
      <c r="J455" s="1660" t="s">
        <v>1727</v>
      </c>
      <c r="K455" s="1660"/>
      <c r="L455" s="1660"/>
      <c r="M455" s="1660"/>
      <c r="N455" s="2564"/>
      <c r="O455" s="2565"/>
      <c r="P455" s="2565"/>
      <c r="Q455" s="1660"/>
      <c r="R455" s="1660"/>
      <c r="S455" s="1660"/>
      <c r="AB455" s="1908" t="s">
        <v>2003</v>
      </c>
      <c r="AC455" s="1909"/>
      <c r="AD455" s="1909"/>
      <c r="AE455" s="1910"/>
      <c r="AF455" s="1910"/>
      <c r="AG455" s="1910"/>
      <c r="AH455" s="1910"/>
      <c r="AI455" s="1911" t="s">
        <v>1745</v>
      </c>
      <c r="AJ455" s="1912" t="s">
        <v>774</v>
      </c>
      <c r="AK455" s="1913"/>
      <c r="AM455" s="2553"/>
    </row>
    <row r="456" spans="1:55">
      <c r="B456" s="1660"/>
      <c r="C456" s="1660"/>
      <c r="D456" s="1660"/>
      <c r="E456" s="1660"/>
      <c r="F456" s="1660"/>
      <c r="G456" s="1666" t="s">
        <v>2186</v>
      </c>
      <c r="H456" s="2564" t="s">
        <v>2125</v>
      </c>
      <c r="I456" s="1664" t="s">
        <v>1108</v>
      </c>
      <c r="J456" s="1660" t="s">
        <v>2187</v>
      </c>
      <c r="K456" s="1660"/>
      <c r="L456" s="1665"/>
      <c r="M456" s="1660"/>
      <c r="N456" s="2564"/>
      <c r="O456" s="2565"/>
      <c r="P456" s="2565"/>
      <c r="Q456" s="1660"/>
      <c r="R456" s="1660"/>
      <c r="S456" s="1660"/>
      <c r="AB456" s="1914"/>
      <c r="AC456" s="1727" t="s">
        <v>2004</v>
      </c>
      <c r="AD456" s="1749"/>
      <c r="AE456" s="1727"/>
      <c r="AF456" s="1727"/>
      <c r="AG456" s="1727"/>
      <c r="AH456" s="1727"/>
      <c r="AI456" s="1915">
        <f>$O$206</f>
        <v>0</v>
      </c>
      <c r="AJ456" s="1916">
        <f>$P$206</f>
        <v>0</v>
      </c>
      <c r="AK456" s="1917"/>
      <c r="AM456" s="2553"/>
    </row>
    <row r="457" spans="1:55">
      <c r="B457" s="1660"/>
      <c r="C457" s="1660"/>
      <c r="D457" s="1660"/>
      <c r="E457" s="1660"/>
      <c r="F457" s="1660"/>
      <c r="G457" s="1666" t="s">
        <v>2188</v>
      </c>
      <c r="H457" s="2564">
        <v>2020</v>
      </c>
      <c r="I457" s="2564" t="s">
        <v>2129</v>
      </c>
      <c r="J457" s="1660" t="s">
        <v>1729</v>
      </c>
      <c r="K457" s="1660"/>
      <c r="L457" s="1665"/>
      <c r="M457" s="1660"/>
      <c r="N457" s="1660"/>
      <c r="O457" s="1660"/>
      <c r="P457" s="1660"/>
      <c r="Q457" s="1660"/>
      <c r="R457" s="1660"/>
      <c r="S457" s="1660"/>
      <c r="AB457" s="1914"/>
      <c r="AC457" s="1727" t="s">
        <v>1750</v>
      </c>
      <c r="AD457" s="1749"/>
      <c r="AE457" s="1727"/>
      <c r="AF457" s="1727"/>
      <c r="AG457" s="1727"/>
      <c r="AH457" s="1727"/>
      <c r="AI457" s="1918">
        <f>$O$238</f>
        <v>10</v>
      </c>
      <c r="AJ457" s="1919">
        <f>$P$238</f>
        <v>0</v>
      </c>
      <c r="AK457" s="1917"/>
      <c r="AM457" s="2553"/>
    </row>
    <row r="458" spans="1:55">
      <c r="B458" s="1660"/>
      <c r="C458" s="1660"/>
      <c r="D458" s="1660"/>
      <c r="E458" s="1660"/>
      <c r="F458" s="1660"/>
      <c r="G458" s="1666" t="s">
        <v>2189</v>
      </c>
      <c r="H458" s="2564">
        <v>2020</v>
      </c>
      <c r="I458" s="2564" t="s">
        <v>2129</v>
      </c>
      <c r="J458" s="1660" t="s">
        <v>2190</v>
      </c>
      <c r="K458" s="1660"/>
      <c r="L458" s="1660"/>
      <c r="M458" s="1660"/>
      <c r="N458" s="1660"/>
      <c r="O458" s="1660"/>
      <c r="P458" s="1660"/>
      <c r="Q458" s="1660"/>
      <c r="R458" s="1660"/>
      <c r="S458" s="1660"/>
      <c r="AB458" s="1914"/>
      <c r="AC458" s="1727" t="s">
        <v>2056</v>
      </c>
      <c r="AD458" s="1749"/>
      <c r="AE458" s="1727"/>
      <c r="AF458" s="1727"/>
      <c r="AG458" s="1727"/>
      <c r="AH458" s="1727"/>
      <c r="AI458" s="1918">
        <f>$O$265</f>
        <v>0</v>
      </c>
      <c r="AJ458" s="1919">
        <f>$P$265</f>
        <v>0</v>
      </c>
      <c r="AK458" s="1917"/>
      <c r="AM458" s="2553"/>
    </row>
    <row r="459" spans="1:55">
      <c r="B459" s="1660"/>
      <c r="C459" s="1660"/>
      <c r="D459" s="1668"/>
      <c r="E459" s="1660"/>
      <c r="F459" s="1660"/>
      <c r="G459" s="1666" t="s">
        <v>2191</v>
      </c>
      <c r="H459" s="2564" t="s">
        <v>2125</v>
      </c>
      <c r="I459" s="1664" t="s">
        <v>1108</v>
      </c>
      <c r="J459" s="1660" t="s">
        <v>2192</v>
      </c>
      <c r="K459" s="1660"/>
      <c r="L459" s="1665"/>
      <c r="M459" s="1660"/>
      <c r="N459" s="1660"/>
      <c r="O459" s="1660"/>
      <c r="P459" s="1660"/>
      <c r="Q459" s="1660"/>
      <c r="R459" s="1660"/>
      <c r="S459" s="1660"/>
      <c r="AB459" s="1914"/>
      <c r="AC459" s="1727" t="s">
        <v>2149</v>
      </c>
      <c r="AD459" s="1749"/>
      <c r="AE459" s="1727"/>
      <c r="AF459" s="1727"/>
      <c r="AG459" s="1727"/>
      <c r="AH459" s="1727"/>
      <c r="AI459" s="1918">
        <f>$O$303</f>
        <v>0</v>
      </c>
      <c r="AJ459" s="1919">
        <f>$P$303</f>
        <v>0</v>
      </c>
      <c r="AK459" s="1917"/>
      <c r="AM459" s="2553"/>
    </row>
    <row r="460" spans="1:55">
      <c r="B460" s="1660"/>
      <c r="C460" s="1660"/>
      <c r="D460" s="1668"/>
      <c r="E460" s="1660"/>
      <c r="F460" s="1660"/>
      <c r="G460" s="1666" t="s">
        <v>2193</v>
      </c>
      <c r="H460" s="2564" t="s">
        <v>2125</v>
      </c>
      <c r="I460" s="1664" t="s">
        <v>1108</v>
      </c>
      <c r="J460" s="1660" t="s">
        <v>2194</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c r="B461" s="1660"/>
      <c r="C461" s="1660"/>
      <c r="D461" s="1660"/>
      <c r="E461" s="1660"/>
      <c r="F461" s="1660"/>
      <c r="G461" s="1666" t="s">
        <v>2195</v>
      </c>
      <c r="H461" s="2564">
        <v>2020</v>
      </c>
      <c r="I461" s="2564" t="s">
        <v>2129</v>
      </c>
      <c r="J461" s="1660" t="s">
        <v>2196</v>
      </c>
      <c r="K461" s="1660"/>
      <c r="L461" s="1665"/>
      <c r="M461" s="1660"/>
      <c r="N461" s="1660"/>
      <c r="O461" s="1660"/>
      <c r="P461" s="1660"/>
      <c r="Q461" s="1660"/>
      <c r="R461" s="1660"/>
      <c r="S461" s="1660"/>
      <c r="AM461" s="2553"/>
    </row>
    <row r="462" spans="1:55">
      <c r="B462" s="1660"/>
      <c r="C462" s="1660"/>
      <c r="D462" s="1660"/>
      <c r="E462" s="1660"/>
      <c r="F462" s="1660"/>
      <c r="G462" s="1666" t="s">
        <v>2197</v>
      </c>
      <c r="H462" s="2564">
        <v>2019</v>
      </c>
      <c r="I462" s="2564" t="s">
        <v>2129</v>
      </c>
      <c r="J462" s="1660" t="s">
        <v>2198</v>
      </c>
      <c r="K462" s="1660"/>
      <c r="L462" s="1660"/>
      <c r="M462" s="1660"/>
      <c r="N462" s="1660"/>
      <c r="O462" s="1660"/>
      <c r="P462" s="1660"/>
      <c r="Q462" s="1660"/>
      <c r="R462" s="1660"/>
      <c r="S462" s="1660"/>
      <c r="AM462" s="2553"/>
    </row>
    <row r="463" spans="1:55">
      <c r="B463" s="1660"/>
      <c r="C463" s="1660"/>
      <c r="D463" s="1660"/>
      <c r="E463" s="1660"/>
      <c r="F463" s="1660"/>
      <c r="G463" s="1666" t="s">
        <v>2199</v>
      </c>
      <c r="H463" s="2564">
        <v>2019</v>
      </c>
      <c r="I463" s="2564" t="s">
        <v>2129</v>
      </c>
      <c r="J463" s="1660" t="s">
        <v>2200</v>
      </c>
      <c r="K463" s="1660"/>
      <c r="L463" s="1665"/>
      <c r="M463" s="1660"/>
      <c r="N463" s="1660"/>
      <c r="O463" s="1660"/>
      <c r="P463" s="1660"/>
      <c r="Q463" s="1660"/>
      <c r="R463" s="1660"/>
      <c r="S463" s="1660"/>
      <c r="AM463" s="2553"/>
    </row>
    <row r="464" spans="1:55">
      <c r="B464" s="1660"/>
      <c r="C464" s="1660"/>
      <c r="D464" s="1660"/>
      <c r="E464" s="1660"/>
      <c r="F464" s="1660"/>
      <c r="G464" s="1666" t="s">
        <v>2201</v>
      </c>
      <c r="H464" s="2564">
        <v>2020</v>
      </c>
      <c r="I464" s="2564" t="s">
        <v>2129</v>
      </c>
      <c r="J464" s="1660" t="s">
        <v>2202</v>
      </c>
      <c r="K464" s="1660"/>
      <c r="L464" s="1665"/>
      <c r="M464" s="1660"/>
      <c r="N464" s="1660"/>
      <c r="O464" s="1660"/>
      <c r="P464" s="1660"/>
      <c r="Q464" s="1660"/>
      <c r="R464" s="1660"/>
      <c r="S464" s="1660"/>
      <c r="AM464" s="2553"/>
    </row>
    <row r="465" spans="2:19">
      <c r="B465" s="1660"/>
      <c r="C465" s="1668"/>
      <c r="D465" s="1660"/>
      <c r="E465" s="1660"/>
      <c r="F465" s="1660"/>
      <c r="G465" s="1666" t="s">
        <v>2203</v>
      </c>
      <c r="H465" s="2564">
        <v>2020</v>
      </c>
      <c r="I465" s="2564" t="s">
        <v>2129</v>
      </c>
      <c r="J465" s="1660" t="s">
        <v>2204</v>
      </c>
      <c r="K465" s="1660"/>
      <c r="L465" s="1665"/>
      <c r="M465" s="1660"/>
      <c r="N465" s="1660"/>
      <c r="O465" s="1660"/>
      <c r="P465" s="1660"/>
      <c r="Q465" s="1660"/>
      <c r="R465" s="1660"/>
      <c r="S465" s="1660"/>
    </row>
    <row r="466" spans="2:19">
      <c r="B466" s="1660"/>
      <c r="C466" s="1668"/>
      <c r="D466" s="1660"/>
      <c r="E466" s="1660"/>
      <c r="F466" s="1660"/>
      <c r="G466" s="1666" t="s">
        <v>2205</v>
      </c>
      <c r="H466" s="2564" t="s">
        <v>2125</v>
      </c>
      <c r="I466" s="1664" t="s">
        <v>1108</v>
      </c>
      <c r="J466" s="1660"/>
      <c r="K466" s="1660"/>
      <c r="L466" s="1665"/>
      <c r="M466" s="1660"/>
      <c r="N466" s="1660"/>
      <c r="O466" s="1660"/>
      <c r="P466" s="1660"/>
      <c r="Q466" s="1660"/>
      <c r="R466" s="1660"/>
      <c r="S466" s="1660"/>
    </row>
    <row r="467" spans="2:19">
      <c r="B467" s="1660"/>
      <c r="C467" s="1668"/>
      <c r="D467" s="1660"/>
      <c r="E467" s="1660"/>
      <c r="F467" s="1660"/>
      <c r="G467" s="1666" t="s">
        <v>2206</v>
      </c>
      <c r="H467" s="2564" t="s">
        <v>2125</v>
      </c>
      <c r="I467" s="1664" t="s">
        <v>1108</v>
      </c>
      <c r="J467" s="1660"/>
      <c r="K467" s="1660"/>
      <c r="L467" s="1665"/>
      <c r="M467" s="1660"/>
      <c r="N467" s="1660"/>
      <c r="O467" s="1660"/>
      <c r="P467" s="1660"/>
      <c r="Q467" s="1660"/>
      <c r="R467" s="1660"/>
      <c r="S467" s="1660"/>
    </row>
    <row r="468" spans="2:19">
      <c r="B468" s="1660"/>
      <c r="C468" s="1668"/>
      <c r="D468" s="1660"/>
      <c r="E468" s="1660"/>
      <c r="F468" s="1660"/>
      <c r="G468" s="1666" t="s">
        <v>2207</v>
      </c>
      <c r="H468" s="2564" t="s">
        <v>2125</v>
      </c>
      <c r="I468" s="1664" t="s">
        <v>1108</v>
      </c>
      <c r="J468" s="1660"/>
      <c r="K468" s="1660"/>
      <c r="L468" s="1665"/>
      <c r="M468" s="1660"/>
      <c r="N468" s="1660"/>
      <c r="O468" s="1660"/>
      <c r="P468" s="1660"/>
      <c r="Q468" s="1660"/>
      <c r="R468" s="1660"/>
      <c r="S468" s="1660"/>
    </row>
    <row r="469" spans="2:19">
      <c r="B469" s="1660"/>
      <c r="C469" s="1668"/>
      <c r="D469" s="1660"/>
      <c r="E469" s="1660"/>
      <c r="F469" s="1660"/>
      <c r="G469" s="1666" t="s">
        <v>2208</v>
      </c>
      <c r="H469" s="2564" t="s">
        <v>2125</v>
      </c>
      <c r="I469" s="1664" t="s">
        <v>1108</v>
      </c>
      <c r="J469" s="1660"/>
      <c r="K469" s="1660"/>
      <c r="L469" s="1665"/>
      <c r="M469" s="1660"/>
      <c r="N469" s="1660"/>
      <c r="O469" s="1660"/>
      <c r="P469" s="1660"/>
      <c r="Q469" s="1660"/>
      <c r="R469" s="1660"/>
      <c r="S469" s="1660"/>
    </row>
    <row r="470" spans="2:19">
      <c r="B470" s="1660"/>
      <c r="C470" s="1668"/>
      <c r="D470" s="1660"/>
      <c r="E470" s="1660"/>
      <c r="F470" s="1660"/>
      <c r="G470" s="1666" t="s">
        <v>2209</v>
      </c>
      <c r="H470" s="2564">
        <v>2020</v>
      </c>
      <c r="I470" s="2564" t="s">
        <v>2129</v>
      </c>
      <c r="J470" s="1660"/>
      <c r="K470" s="1660"/>
      <c r="L470" s="1665"/>
      <c r="M470" s="1660"/>
      <c r="N470" s="1660"/>
      <c r="O470" s="1660"/>
      <c r="P470" s="1660"/>
      <c r="Q470" s="1660"/>
      <c r="R470" s="1660"/>
      <c r="S470" s="1660"/>
    </row>
    <row r="471" spans="2:19">
      <c r="B471" s="1660"/>
      <c r="C471" s="1668"/>
      <c r="D471" s="1660"/>
      <c r="E471" s="1660"/>
      <c r="F471" s="1660"/>
      <c r="G471" s="1666" t="s">
        <v>2210</v>
      </c>
      <c r="H471" s="2564">
        <v>2020</v>
      </c>
      <c r="I471" s="2564" t="s">
        <v>2129</v>
      </c>
      <c r="J471" s="1660"/>
      <c r="K471" s="1660"/>
      <c r="L471" s="1660"/>
      <c r="M471" s="1660"/>
      <c r="N471" s="1660"/>
      <c r="O471" s="1660"/>
      <c r="P471" s="1660"/>
      <c r="Q471" s="1660"/>
      <c r="R471" s="1660"/>
      <c r="S471" s="1660"/>
    </row>
    <row r="472" spans="2:19">
      <c r="B472" s="1660"/>
      <c r="C472" s="1660"/>
      <c r="D472" s="1660"/>
      <c r="E472" s="1660"/>
      <c r="F472" s="1660"/>
      <c r="G472" s="1666" t="s">
        <v>2211</v>
      </c>
      <c r="H472" s="2564">
        <v>2019</v>
      </c>
      <c r="I472" s="2564" t="s">
        <v>2129</v>
      </c>
      <c r="J472" s="1660"/>
      <c r="K472" s="1660"/>
      <c r="L472" s="1660"/>
      <c r="M472" s="1660"/>
      <c r="N472" s="1660"/>
      <c r="O472" s="1660"/>
      <c r="P472" s="1660"/>
      <c r="Q472" s="1660"/>
      <c r="R472" s="1660"/>
      <c r="S472" s="1660"/>
    </row>
    <row r="473" spans="2:19">
      <c r="B473" s="1660"/>
      <c r="C473" s="1660"/>
      <c r="D473" s="1660"/>
      <c r="E473" s="1660"/>
      <c r="F473" s="1660"/>
      <c r="G473" s="1666" t="s">
        <v>2212</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2213</v>
      </c>
      <c r="H474" s="2564">
        <v>2019</v>
      </c>
      <c r="I474" s="2564" t="s">
        <v>2129</v>
      </c>
      <c r="J474" s="1660"/>
      <c r="K474" s="1660"/>
      <c r="L474" s="1660"/>
      <c r="M474" s="1660"/>
      <c r="N474" s="2564"/>
      <c r="O474" s="2565"/>
      <c r="P474" s="2565"/>
      <c r="Q474" s="1660"/>
      <c r="R474" s="1660"/>
      <c r="S474" s="1660"/>
    </row>
    <row r="475" spans="2:19">
      <c r="B475" s="1660"/>
      <c r="C475" s="1660"/>
      <c r="D475" s="1660"/>
      <c r="E475" s="1660"/>
      <c r="F475" s="1660"/>
      <c r="G475" s="1666" t="s">
        <v>2214</v>
      </c>
      <c r="H475" s="2564">
        <v>2020</v>
      </c>
      <c r="I475" s="2564" t="s">
        <v>2129</v>
      </c>
      <c r="J475" s="1660"/>
      <c r="K475" s="1660"/>
      <c r="L475" s="1660"/>
      <c r="M475" s="1660"/>
      <c r="N475" s="2564"/>
      <c r="O475" s="2565"/>
      <c r="P475" s="2565"/>
      <c r="Q475" s="1660"/>
      <c r="R475" s="1660"/>
      <c r="S475" s="1660"/>
    </row>
    <row r="476" spans="2:19">
      <c r="B476" s="1660"/>
      <c r="C476" s="1660"/>
      <c r="D476" s="1660"/>
      <c r="E476" s="1660"/>
      <c r="F476" s="1660"/>
      <c r="G476" s="1666" t="s">
        <v>2215</v>
      </c>
      <c r="H476" s="2564">
        <v>2020</v>
      </c>
      <c r="I476" s="2564" t="s">
        <v>2129</v>
      </c>
      <c r="J476" s="1660"/>
      <c r="K476" s="1660"/>
      <c r="L476" s="1660"/>
      <c r="M476" s="1660"/>
      <c r="N476" s="2564"/>
      <c r="O476" s="2565"/>
      <c r="P476" s="2565"/>
      <c r="Q476" s="1660"/>
      <c r="R476" s="1660"/>
      <c r="S476" s="1660"/>
    </row>
    <row r="477" spans="2:19">
      <c r="B477" s="1660"/>
      <c r="C477" s="1660"/>
      <c r="D477" s="1660"/>
      <c r="E477" s="1660"/>
      <c r="F477" s="1660"/>
      <c r="G477" s="1666" t="s">
        <v>2216</v>
      </c>
      <c r="H477" s="2564">
        <v>2020</v>
      </c>
      <c r="I477" s="2564" t="s">
        <v>2129</v>
      </c>
      <c r="J477" s="1660"/>
      <c r="K477" s="1660"/>
      <c r="L477" s="1660"/>
      <c r="M477" s="1660"/>
      <c r="N477" s="2564"/>
      <c r="O477" s="2565"/>
      <c r="P477" s="2565"/>
      <c r="Q477" s="1660"/>
      <c r="R477" s="1660"/>
      <c r="S477" s="1660"/>
    </row>
    <row r="478" spans="2:19">
      <c r="B478" s="1660"/>
      <c r="C478" s="1660"/>
      <c r="D478" s="1660"/>
      <c r="E478" s="1660"/>
      <c r="F478" s="1660"/>
      <c r="G478" s="1666" t="s">
        <v>2217</v>
      </c>
      <c r="H478" s="2564">
        <v>2019</v>
      </c>
      <c r="I478" s="2564" t="s">
        <v>2129</v>
      </c>
      <c r="J478" s="1660"/>
      <c r="K478" s="1660"/>
      <c r="L478" s="1660"/>
      <c r="M478" s="1660"/>
      <c r="N478" s="2564"/>
      <c r="O478" s="2565"/>
      <c r="P478" s="2565"/>
      <c r="Q478" s="1660"/>
      <c r="R478" s="1660"/>
      <c r="S478" s="1660"/>
    </row>
    <row r="479" spans="2:19">
      <c r="B479" s="1660"/>
      <c r="C479" s="1660"/>
      <c r="D479" s="1660"/>
      <c r="E479" s="1660"/>
      <c r="F479" s="1660"/>
      <c r="G479" s="1666" t="s">
        <v>2218</v>
      </c>
      <c r="H479" s="2564">
        <v>2020</v>
      </c>
      <c r="I479" s="2564" t="s">
        <v>2129</v>
      </c>
      <c r="J479" s="1660"/>
      <c r="K479" s="1660"/>
      <c r="L479" s="1660"/>
      <c r="M479" s="1660"/>
      <c r="N479" s="2564"/>
      <c r="O479" s="2565"/>
      <c r="P479" s="2565"/>
      <c r="Q479" s="1660"/>
      <c r="R479" s="1660"/>
      <c r="S479" s="1660"/>
    </row>
    <row r="480" spans="2:19">
      <c r="B480" s="1660"/>
      <c r="C480" s="1660"/>
      <c r="D480" s="1660"/>
      <c r="E480" s="1660"/>
      <c r="F480" s="1660"/>
      <c r="G480" s="1666" t="s">
        <v>2219</v>
      </c>
      <c r="H480" s="2564">
        <v>2020</v>
      </c>
      <c r="I480" s="2564" t="s">
        <v>2129</v>
      </c>
      <c r="J480" s="1660"/>
      <c r="K480" s="1660"/>
      <c r="L480" s="1660"/>
      <c r="M480" s="1660"/>
      <c r="N480" s="2564"/>
      <c r="O480" s="2565"/>
      <c r="P480" s="2565"/>
      <c r="Q480" s="1660"/>
      <c r="R480" s="1660"/>
      <c r="S480" s="1660"/>
    </row>
    <row r="481" spans="2:19">
      <c r="B481" s="1660"/>
      <c r="C481" s="1660"/>
      <c r="D481" s="1660"/>
      <c r="E481" s="1660"/>
      <c r="F481" s="1660"/>
      <c r="G481" s="1666" t="s">
        <v>2220</v>
      </c>
      <c r="H481" s="2564" t="s">
        <v>2125</v>
      </c>
      <c r="I481" s="1664" t="s">
        <v>1108</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c r="AM615" s="2553"/>
    </row>
    <row r="616" spans="39:39" s="1726" customFormat="1">
      <c r="AM616" s="2553"/>
    </row>
    <row r="617" spans="39:39" s="1726" customFormat="1">
      <c r="AM617" s="2553"/>
    </row>
    <row r="618" spans="39:39" s="1726" customFormat="1">
      <c r="AM618" s="2553"/>
    </row>
    <row r="619" spans="39:39" s="1726" customFormat="1">
      <c r="AM619" s="2553"/>
    </row>
    <row r="620" spans="39:39" s="1726" customFormat="1">
      <c r="AM620" s="2553"/>
    </row>
    <row r="621" spans="39:39" s="1726" customFormat="1">
      <c r="AM621" s="2553"/>
    </row>
    <row r="622" spans="39:39" s="1726" customFormat="1">
      <c r="AM622" s="2553"/>
    </row>
    <row r="623" spans="39:39" s="1726" customFormat="1">
      <c r="AM623" s="2553"/>
    </row>
    <row r="624" spans="39:39" s="1726" customFormat="1">
      <c r="AM624" s="2553"/>
    </row>
    <row r="625" spans="39:39" s="1726" customFormat="1">
      <c r="AM625" s="2553"/>
    </row>
    <row r="626" spans="39:39" s="1726" customFormat="1">
      <c r="AM626" s="2553"/>
    </row>
    <row r="627" spans="39:39" s="1726" customFormat="1">
      <c r="AM627" s="2553"/>
    </row>
    <row r="628" spans="39:39" s="1726" customFormat="1">
      <c r="AM628" s="2553"/>
    </row>
    <row r="629" spans="39:39" s="1726" customFormat="1">
      <c r="AM629" s="2553"/>
    </row>
    <row r="630" spans="39:39" s="1726" customFormat="1">
      <c r="AM630" s="2553"/>
    </row>
    <row r="631" spans="39:39" s="1726" customFormat="1">
      <c r="AM631" s="2553"/>
    </row>
    <row r="632" spans="39:39" s="1726" customFormat="1">
      <c r="AM632" s="2553"/>
    </row>
    <row r="633" spans="39:39" s="1726" customFormat="1">
      <c r="AM633" s="2553"/>
    </row>
    <row r="634" spans="39:39" s="1726" customFormat="1">
      <c r="AM634" s="2553"/>
    </row>
    <row r="635" spans="39:39" s="1726" customFormat="1">
      <c r="AM635" s="2553"/>
    </row>
    <row r="636" spans="39:39" s="1726" customFormat="1">
      <c r="AM636" s="2553"/>
    </row>
    <row r="637" spans="39:39" s="1726" customFormat="1">
      <c r="AM637" s="2553"/>
    </row>
    <row r="638" spans="39:39" s="1726" customFormat="1">
      <c r="AM638" s="2553"/>
    </row>
    <row r="639" spans="39:39" s="1726" customFormat="1">
      <c r="AM639" s="2553"/>
    </row>
    <row r="640" spans="39:39" s="1726" customFormat="1">
      <c r="AM640" s="2553"/>
    </row>
    <row r="641" spans="39:39" s="1726" customFormat="1">
      <c r="AM641" s="2553"/>
    </row>
    <row r="642" spans="39:39" s="1726" customFormat="1">
      <c r="AM642" s="2553"/>
    </row>
    <row r="643" spans="39:39" s="1726" customFormat="1">
      <c r="AM643" s="2553"/>
    </row>
    <row r="644" spans="39:39" s="1726" customFormat="1">
      <c r="AM644" s="2553"/>
    </row>
    <row r="645" spans="39:39" s="1726" customFormat="1">
      <c r="AM645" s="2553"/>
    </row>
    <row r="646" spans="39:39" s="1726" customFormat="1">
      <c r="AM646" s="2553"/>
    </row>
    <row r="647" spans="39:39" s="1726" customFormat="1">
      <c r="AM647" s="2553"/>
    </row>
    <row r="648" spans="39:39" s="1726" customFormat="1">
      <c r="AM648" s="2553"/>
    </row>
    <row r="649" spans="39:39" s="1726" customFormat="1">
      <c r="AM649" s="2553"/>
    </row>
    <row r="650" spans="39:39" s="1726" customFormat="1">
      <c r="AM650" s="2553"/>
    </row>
    <row r="651" spans="39:39" s="1726" customFormat="1">
      <c r="AM651" s="2553"/>
    </row>
    <row r="652" spans="39:39" s="1726" customFormat="1">
      <c r="AM652" s="2553"/>
    </row>
    <row r="653" spans="39:39" s="1726" customFormat="1">
      <c r="AM653" s="2553"/>
    </row>
    <row r="654" spans="39:39" s="1726" customFormat="1">
      <c r="AM654" s="2553"/>
    </row>
    <row r="655" spans="39:39" s="1726" customFormat="1">
      <c r="AM655" s="2553"/>
    </row>
    <row r="656" spans="39:39" s="1726" customFormat="1">
      <c r="AM656" s="2553"/>
    </row>
    <row r="657" spans="39:39" s="1726" customFormat="1">
      <c r="AM657" s="2553"/>
    </row>
    <row r="658" spans="39:39" s="1726" customFormat="1">
      <c r="AM658" s="2553"/>
    </row>
    <row r="659" spans="39:39" s="1726" customFormat="1">
      <c r="AM659" s="2553"/>
    </row>
    <row r="660" spans="39:39" s="1726" customFormat="1">
      <c r="AM660" s="2553"/>
    </row>
    <row r="661" spans="39:39" s="1726" customFormat="1">
      <c r="AM661" s="2553"/>
    </row>
    <row r="662" spans="39:39" s="1726" customFormat="1">
      <c r="AM662" s="2553"/>
    </row>
    <row r="663" spans="39:39" s="1726" customFormat="1">
      <c r="AM663" s="2553"/>
    </row>
    <row r="664" spans="39:39" s="1726" customFormat="1">
      <c r="AM664" s="2553"/>
    </row>
    <row r="665" spans="39:39" s="1726" customFormat="1">
      <c r="AM665" s="2553"/>
    </row>
    <row r="666" spans="39:39" s="1726" customFormat="1">
      <c r="AM666" s="2553"/>
    </row>
    <row r="667" spans="39:39" s="1726" customFormat="1">
      <c r="AM667" s="2553"/>
    </row>
    <row r="668" spans="39:39" s="1726" customFormat="1">
      <c r="AM668" s="2553"/>
    </row>
    <row r="669" spans="39:39" s="1726" customFormat="1">
      <c r="AM669" s="2553"/>
    </row>
    <row r="670" spans="39:39" s="1726" customFormat="1">
      <c r="AM670" s="2553"/>
    </row>
    <row r="671" spans="39:39" s="1726" customFormat="1">
      <c r="AM671" s="2553"/>
    </row>
    <row r="672" spans="39:39" s="1726" customFormat="1">
      <c r="AM672" s="2553"/>
    </row>
    <row r="673" spans="39:39" s="1726" customFormat="1">
      <c r="AM673" s="2553"/>
    </row>
    <row r="674" spans="39:39" s="1726" customFormat="1">
      <c r="AM674" s="2553"/>
    </row>
    <row r="675" spans="39:39" s="1726" customFormat="1">
      <c r="AM675" s="2553"/>
    </row>
    <row r="676" spans="39:39" s="1726" customFormat="1">
      <c r="AM676" s="2553"/>
    </row>
    <row r="677" spans="39:39" s="1726" customFormat="1">
      <c r="AM677" s="2553"/>
    </row>
    <row r="678" spans="39:39" s="1726" customFormat="1">
      <c r="AM678" s="2553"/>
    </row>
    <row r="679" spans="39:39" s="1726" customFormat="1">
      <c r="AM679" s="2553"/>
    </row>
    <row r="680" spans="39:39" s="1726" customFormat="1">
      <c r="AM680" s="2553"/>
    </row>
    <row r="681" spans="39:39" s="1726" customFormat="1">
      <c r="AM681" s="2553"/>
    </row>
    <row r="682" spans="39:39" s="1726" customFormat="1">
      <c r="AM682" s="2553"/>
    </row>
    <row r="683" spans="39:39" s="1726" customFormat="1">
      <c r="AM683" s="2553"/>
    </row>
    <row r="684" spans="39:39" s="1726" customFormat="1">
      <c r="AM684" s="2553"/>
    </row>
    <row r="685" spans="39:39" s="1726" customFormat="1">
      <c r="AM685" s="2553"/>
    </row>
    <row r="686" spans="39:39" s="1726" customFormat="1">
      <c r="AM686" s="2553"/>
    </row>
    <row r="687" spans="39:39" s="1726" customFormat="1">
      <c r="AM687" s="2553"/>
    </row>
    <row r="688" spans="39:39" s="1726" customFormat="1">
      <c r="AM688" s="2553"/>
    </row>
    <row r="689" spans="39:39" s="1726" customFormat="1">
      <c r="AM689" s="2553"/>
    </row>
    <row r="690" spans="39:39" s="1726" customFormat="1">
      <c r="AM690" s="2553"/>
    </row>
    <row r="691" spans="39:39" s="1726" customFormat="1">
      <c r="AM691" s="2553"/>
    </row>
    <row r="692" spans="39:39" s="1726" customFormat="1">
      <c r="AM692" s="2553"/>
    </row>
    <row r="693" spans="39:39" s="1726" customFormat="1">
      <c r="AM693" s="2553"/>
    </row>
    <row r="694" spans="39:39" s="1726" customFormat="1">
      <c r="AM694" s="2553"/>
    </row>
    <row r="695" spans="39:39" s="1726" customFormat="1">
      <c r="AM695" s="2553"/>
    </row>
    <row r="696" spans="39:39" s="1726" customFormat="1">
      <c r="AM696" s="2553"/>
    </row>
    <row r="697" spans="39:39" s="1726" customFormat="1">
      <c r="AM697" s="2553"/>
    </row>
    <row r="698" spans="39:39" s="1726" customFormat="1">
      <c r="AM698" s="2553"/>
    </row>
    <row r="699" spans="39:39" s="1726" customFormat="1">
      <c r="AM699" s="2553"/>
    </row>
    <row r="700" spans="39:39" s="1726" customFormat="1">
      <c r="AM700" s="2553"/>
    </row>
    <row r="701" spans="39:39" s="1726" customFormat="1">
      <c r="AM701" s="2553"/>
    </row>
    <row r="702" spans="39:39" s="1726" customFormat="1">
      <c r="AM702" s="2553"/>
    </row>
    <row r="703" spans="39:39" s="1726" customFormat="1">
      <c r="AM703" s="2553"/>
    </row>
    <row r="704" spans="39:39" s="1726" customFormat="1">
      <c r="AM704" s="2553"/>
    </row>
    <row r="705" spans="39:39" s="1726" customFormat="1">
      <c r="AM705" s="2553"/>
    </row>
    <row r="706" spans="39:39" s="1726" customFormat="1">
      <c r="AM706" s="2553"/>
    </row>
    <row r="707" spans="39:39" s="1726" customFormat="1">
      <c r="AM707" s="2553"/>
    </row>
    <row r="708" spans="39:39" s="1726" customFormat="1">
      <c r="AM708" s="2553"/>
    </row>
    <row r="709" spans="39:39" s="1726" customFormat="1">
      <c r="AM709" s="2553"/>
    </row>
    <row r="710" spans="39:39" s="1726" customFormat="1">
      <c r="AM710" s="2553"/>
    </row>
    <row r="711" spans="39:39" s="1726" customFormat="1">
      <c r="AM711" s="2553"/>
    </row>
    <row r="712" spans="39:39" s="1726" customFormat="1">
      <c r="AM712" s="2553"/>
    </row>
    <row r="713" spans="39:39" s="1726" customFormat="1">
      <c r="AM713" s="2553"/>
    </row>
    <row r="714" spans="39:39" s="1726" customFormat="1">
      <c r="AM714" s="2553"/>
    </row>
    <row r="715" spans="39:39" s="1726" customFormat="1">
      <c r="AM715" s="2553"/>
    </row>
    <row r="716" spans="39:39" s="1726" customFormat="1">
      <c r="AM716" s="2553"/>
    </row>
    <row r="717" spans="39:39" s="1726" customFormat="1">
      <c r="AM717" s="2553"/>
    </row>
    <row r="718" spans="39:39" s="1726" customFormat="1">
      <c r="AM718" s="2553"/>
    </row>
    <row r="719" spans="39:39" s="1726" customFormat="1">
      <c r="AM719" s="2553"/>
    </row>
    <row r="720" spans="39:39" s="1726" customFormat="1">
      <c r="AM720" s="2553"/>
    </row>
    <row r="721" spans="39:39" s="1726" customFormat="1">
      <c r="AM721" s="2553"/>
    </row>
    <row r="722" spans="39:39" s="1726" customFormat="1">
      <c r="AM722" s="2553"/>
    </row>
    <row r="723" spans="39:39" s="1726" customFormat="1">
      <c r="AM723" s="2553"/>
    </row>
    <row r="724" spans="39:39" s="1726" customFormat="1">
      <c r="AM724" s="2553"/>
    </row>
    <row r="725" spans="39:39" s="1726" customFormat="1">
      <c r="AM725" s="2553"/>
    </row>
    <row r="726" spans="39:39" s="1726" customFormat="1">
      <c r="AM726" s="2553"/>
    </row>
    <row r="727" spans="39:39" s="1726" customFormat="1">
      <c r="AM727" s="2553"/>
    </row>
    <row r="728" spans="39:39" s="1726" customFormat="1">
      <c r="AM728" s="2553"/>
    </row>
    <row r="729" spans="39:39" s="1726" customFormat="1">
      <c r="AM729" s="2553"/>
    </row>
    <row r="730" spans="39:39" s="1726" customFormat="1">
      <c r="AM730" s="2553"/>
    </row>
    <row r="731" spans="39:39" s="1726" customFormat="1">
      <c r="AM731" s="2553"/>
    </row>
    <row r="732" spans="39:39" s="1726" customFormat="1">
      <c r="AM732" s="2553"/>
    </row>
    <row r="733" spans="39:39" s="1726" customFormat="1">
      <c r="AM733" s="2553"/>
    </row>
    <row r="734" spans="39:39" s="1726" customFormat="1">
      <c r="AM734" s="2553"/>
    </row>
    <row r="735" spans="39:39" s="1726" customFormat="1">
      <c r="AM735" s="2553"/>
    </row>
    <row r="736" spans="39:39" s="1726" customFormat="1">
      <c r="AM736" s="2553"/>
    </row>
    <row r="737" spans="39:39" s="1726" customFormat="1">
      <c r="AM737" s="2553"/>
    </row>
    <row r="738" spans="39:39" s="1726" customFormat="1">
      <c r="AM738" s="2553"/>
    </row>
    <row r="739" spans="39:39" s="1726" customFormat="1">
      <c r="AM739" s="2553"/>
    </row>
    <row r="740" spans="39:39" s="1726" customFormat="1">
      <c r="AM740" s="2553"/>
    </row>
    <row r="741" spans="39:39" s="1726" customFormat="1">
      <c r="AM741" s="2553"/>
    </row>
    <row r="742" spans="39:39" s="1726" customFormat="1">
      <c r="AM742" s="2553"/>
    </row>
    <row r="743" spans="39:39" s="1726" customFormat="1">
      <c r="AM743" s="2553"/>
    </row>
    <row r="744" spans="39:39" s="1726" customFormat="1">
      <c r="AM744" s="2553"/>
    </row>
    <row r="745" spans="39:39" s="1726" customFormat="1">
      <c r="AM745" s="2553"/>
    </row>
    <row r="746" spans="39:39" s="1726" customFormat="1">
      <c r="AM746" s="2553"/>
    </row>
    <row r="747" spans="39:39" s="1726" customFormat="1">
      <c r="AM747" s="2553"/>
    </row>
    <row r="748" spans="39:39" s="1726" customFormat="1">
      <c r="AM748" s="2553"/>
    </row>
    <row r="749" spans="39:39" s="1726" customFormat="1">
      <c r="AM749" s="2553"/>
    </row>
    <row r="750" spans="39:39" s="1726" customFormat="1">
      <c r="AM750" s="2553"/>
    </row>
    <row r="751" spans="39:39" s="1726" customFormat="1">
      <c r="AM751" s="2553"/>
    </row>
    <row r="752" spans="39:39" s="1726" customFormat="1">
      <c r="AM752" s="2553"/>
    </row>
    <row r="753" spans="39:39" s="1726" customFormat="1">
      <c r="AM753" s="2553"/>
    </row>
    <row r="754" spans="39:39" s="1726" customFormat="1">
      <c r="AM754" s="2553"/>
    </row>
    <row r="755" spans="39:39" s="1726" customFormat="1">
      <c r="AM755" s="2553"/>
    </row>
    <row r="756" spans="39:39" s="1726" customFormat="1">
      <c r="AM756" s="2553"/>
    </row>
    <row r="757" spans="39:39" s="1726" customFormat="1">
      <c r="AM757" s="2553"/>
    </row>
    <row r="758" spans="39:39" s="1726" customFormat="1">
      <c r="AM758" s="2553"/>
    </row>
    <row r="759" spans="39:39" s="1726" customFormat="1">
      <c r="AM759" s="2553"/>
    </row>
    <row r="760" spans="39:39" s="1726" customFormat="1">
      <c r="AM760" s="2553"/>
    </row>
    <row r="761" spans="39:39" s="1726" customFormat="1">
      <c r="AM761" s="2553"/>
    </row>
    <row r="762" spans="39:39" s="1726" customFormat="1">
      <c r="AM762" s="2553"/>
    </row>
    <row r="763" spans="39:39" s="1726" customFormat="1">
      <c r="AM763" s="2553"/>
    </row>
    <row r="764" spans="39:39" s="1726" customFormat="1">
      <c r="AM764" s="2553"/>
    </row>
    <row r="765" spans="39:39" s="1726" customFormat="1">
      <c r="AM765" s="2553"/>
    </row>
    <row r="766" spans="39:39" s="1726" customFormat="1">
      <c r="AM766" s="2553"/>
    </row>
    <row r="767" spans="39:39" s="1726" customFormat="1">
      <c r="AM767" s="2553"/>
    </row>
    <row r="768" spans="39:39" s="1726" customFormat="1">
      <c r="AM768" s="2553"/>
    </row>
    <row r="769" spans="39:39" s="1726" customFormat="1">
      <c r="AM769" s="2553"/>
    </row>
    <row r="770" spans="39:39" s="1726" customFormat="1">
      <c r="AM770" s="2553"/>
    </row>
    <row r="771" spans="39:39" s="1726" customFormat="1">
      <c r="AM771" s="2553"/>
    </row>
    <row r="772" spans="39:39" s="1726" customFormat="1">
      <c r="AM772" s="2553"/>
    </row>
    <row r="773" spans="39:39" s="1726" customFormat="1">
      <c r="AM773" s="2553"/>
    </row>
    <row r="774" spans="39:39" s="1726" customFormat="1">
      <c r="AM774" s="2553"/>
    </row>
    <row r="775" spans="39:39" s="1726" customFormat="1">
      <c r="AM775" s="2553"/>
    </row>
    <row r="776" spans="39:39" s="1726" customFormat="1">
      <c r="AM776" s="2553"/>
    </row>
    <row r="777" spans="39:39" s="1726" customFormat="1">
      <c r="AM777" s="2553"/>
    </row>
    <row r="778" spans="39:39" s="1726" customFormat="1">
      <c r="AM778" s="2553"/>
    </row>
    <row r="779" spans="39:39" s="1726" customFormat="1">
      <c r="AM779" s="2553"/>
    </row>
    <row r="780" spans="39:39" s="1726" customFormat="1">
      <c r="AM780" s="2553"/>
    </row>
    <row r="781" spans="39:39" s="1726" customFormat="1">
      <c r="AM781" s="2553"/>
    </row>
    <row r="782" spans="39:39" s="1726" customFormat="1">
      <c r="AM782" s="2553"/>
    </row>
    <row r="783" spans="39:39" s="1726" customFormat="1">
      <c r="AM783" s="2553"/>
    </row>
    <row r="784" spans="39:39" s="1726" customFormat="1">
      <c r="AM784" s="2553"/>
    </row>
    <row r="785" spans="39:39" s="1726" customFormat="1">
      <c r="AM785" s="2553"/>
    </row>
    <row r="786" spans="39:39" s="1726" customFormat="1">
      <c r="AM786" s="2553"/>
    </row>
    <row r="787" spans="39:39" s="1726" customFormat="1">
      <c r="AM787" s="2553"/>
    </row>
    <row r="788" spans="39:39" s="1726" customFormat="1">
      <c r="AM788" s="2553"/>
    </row>
    <row r="789" spans="39:39" s="1726" customFormat="1">
      <c r="AM789" s="2553"/>
    </row>
    <row r="790" spans="39:39" s="1726" customFormat="1">
      <c r="AM790" s="2553"/>
    </row>
    <row r="791" spans="39:39" s="1726" customFormat="1">
      <c r="AM791" s="2553"/>
    </row>
    <row r="792" spans="39:39" s="1726" customFormat="1">
      <c r="AM792" s="2553"/>
    </row>
    <row r="793" spans="39:39" s="1726" customFormat="1">
      <c r="AM793" s="2553"/>
    </row>
    <row r="794" spans="39:39" s="1726" customFormat="1">
      <c r="AM794" s="2553"/>
    </row>
    <row r="795" spans="39:39" s="1726" customFormat="1">
      <c r="AM795" s="2553"/>
    </row>
    <row r="796" spans="39:39" s="1726" customFormat="1">
      <c r="AM796" s="2553"/>
    </row>
    <row r="797" spans="39:39" s="1726" customFormat="1">
      <c r="AM797" s="2553"/>
    </row>
    <row r="798" spans="39:39" s="1726" customFormat="1">
      <c r="AM798" s="2553"/>
    </row>
    <row r="799" spans="39:39" s="1726" customFormat="1">
      <c r="AM799" s="2553"/>
    </row>
    <row r="800" spans="39:39" s="1726" customFormat="1">
      <c r="AM800" s="2553"/>
    </row>
    <row r="801" spans="39:39" s="1726" customFormat="1">
      <c r="AM801" s="2553"/>
    </row>
    <row r="802" spans="39:39" s="1726" customFormat="1">
      <c r="AM802" s="2553"/>
    </row>
    <row r="803" spans="39:39" s="1726" customFormat="1">
      <c r="AM803" s="2553"/>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7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95"/>
  <cols>
    <col min="1" max="8" width="9" style="251" bestFit="1" customWidth="1"/>
    <col min="9" max="9" width="14.28515625" style="251" bestFit="1" customWidth="1"/>
    <col min="10" max="10" width="9" style="251" bestFit="1" customWidth="1"/>
    <col min="11" max="11" width="9.42578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Abbington Blue Ridge, Blue Ridge, Fannin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2221</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2222</v>
      </c>
      <c r="H5" s="1382"/>
      <c r="I5" s="1382"/>
      <c r="J5" s="1382"/>
      <c r="K5" s="1382"/>
      <c r="L5" s="2104"/>
      <c r="M5" s="1382"/>
      <c r="N5" s="1382"/>
      <c r="O5" s="1382"/>
      <c r="P5" s="2108" t="s">
        <v>16</v>
      </c>
    </row>
    <row r="6" spans="1:16" ht="13.5" customHeight="1">
      <c r="A6" s="2106"/>
      <c r="B6" s="2106"/>
      <c r="C6" s="2106"/>
      <c r="D6" s="2106"/>
      <c r="E6" s="253"/>
      <c r="F6" s="2104"/>
      <c r="G6" s="2107" t="s">
        <v>2223</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1161542</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c r="A11" s="2113" t="s">
        <v>25</v>
      </c>
      <c r="B11" s="2103" t="s">
        <v>26</v>
      </c>
      <c r="C11" s="1382"/>
      <c r="D11" s="1382"/>
      <c r="E11" s="1382"/>
      <c r="F11" s="2078" t="str">
        <f>'Part I-Project Identification'!F12</f>
        <v>9% Credit Competitive Round only</v>
      </c>
      <c r="G11" s="2078"/>
      <c r="H11" s="2078"/>
      <c r="I11" s="2115" t="s">
        <v>2224</v>
      </c>
      <c r="J11" s="2078" t="s">
        <v>2225</v>
      </c>
      <c r="K11" s="2103"/>
      <c r="L11" s="1204"/>
      <c r="M11" s="1382"/>
      <c r="N11" s="1382"/>
      <c r="O11" s="1382" t="str">
        <f>'Part I-Project Identification'!O12</f>
        <v>2024QD087</v>
      </c>
      <c r="P11" s="1382"/>
    </row>
    <row r="12" spans="1:16" ht="14.1">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Abbington Blue Ridge, LP</v>
      </c>
      <c r="G15" s="1382"/>
      <c r="H15" s="1382"/>
      <c r="I15" s="1382" t="s">
        <v>37</v>
      </c>
      <c r="J15" s="1382" t="str">
        <f>'Part I-Project Identification'!J16</f>
        <v>Eric Buffenbarger</v>
      </c>
      <c r="K15" s="1382"/>
      <c r="L15" s="1382"/>
      <c r="M15" s="2110" t="s">
        <v>39</v>
      </c>
      <c r="N15" s="1382" t="str">
        <f>'Part I-Project Identification'!N16</f>
        <v>Manager of General Partner</v>
      </c>
      <c r="O15" s="1382"/>
      <c r="P15" s="1382"/>
    </row>
    <row r="16" spans="1:16">
      <c r="A16" s="1382"/>
      <c r="B16" s="2110" t="s">
        <v>41</v>
      </c>
      <c r="C16" s="1382"/>
      <c r="D16" s="1382"/>
      <c r="E16" s="1382"/>
      <c r="F16" s="2120">
        <f>'Part I-Project Identification'!F17</f>
        <v>4042504093</v>
      </c>
      <c r="G16" s="2120"/>
      <c r="H16" s="2120"/>
      <c r="I16" s="2110" t="s">
        <v>42</v>
      </c>
      <c r="J16" s="1204">
        <f>'Part I-Project Identification'!J17</f>
        <v>706</v>
      </c>
      <c r="K16" s="1382"/>
      <c r="L16" s="1382"/>
      <c r="M16" s="2110" t="s">
        <v>43</v>
      </c>
      <c r="N16" s="2120">
        <f>'Part I-Project Identification'!N17</f>
        <v>6785252634</v>
      </c>
      <c r="O16" s="2120"/>
      <c r="P16" s="2120"/>
    </row>
    <row r="17" spans="1:16">
      <c r="A17" s="1382"/>
      <c r="B17" s="2110" t="s">
        <v>44</v>
      </c>
      <c r="C17" s="1382"/>
      <c r="D17" s="1382"/>
      <c r="E17" s="1382"/>
      <c r="F17" s="1382" t="str">
        <f>'Part I-Project Identification'!F18</f>
        <v>gaapps@reaventures.com</v>
      </c>
      <c r="G17" s="1382"/>
      <c r="H17" s="1382"/>
      <c r="I17" s="1382"/>
      <c r="J17" s="1382"/>
      <c r="K17" s="1382"/>
      <c r="L17" s="1382"/>
      <c r="M17" s="2110" t="s">
        <v>46</v>
      </c>
      <c r="N17" s="2120">
        <f>'Part I-Project Identification'!N18</f>
        <v>6785252634</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Rea Ventures Group, LLC</v>
      </c>
      <c r="G19" s="1382"/>
      <c r="H19" s="1382"/>
      <c r="I19" s="1382" t="s">
        <v>37</v>
      </c>
      <c r="J19" s="1382" t="str">
        <f>'Part I-Project Identification'!J20</f>
        <v>Trey Coogle</v>
      </c>
      <c r="K19" s="1382"/>
      <c r="L19" s="1382"/>
      <c r="M19" s="2110" t="s">
        <v>39</v>
      </c>
      <c r="N19" s="1382" t="str">
        <f>'Part I-Project Identification'!N20</f>
        <v>Manager</v>
      </c>
      <c r="O19" s="1382"/>
      <c r="P19" s="1382"/>
    </row>
    <row r="20" spans="1:16">
      <c r="A20" s="1382"/>
      <c r="B20" s="2110" t="s">
        <v>41</v>
      </c>
      <c r="C20" s="1382"/>
      <c r="D20" s="1382"/>
      <c r="E20" s="1382"/>
      <c r="F20" s="2120">
        <f>'Part I-Project Identification'!F21</f>
        <v>4042504093</v>
      </c>
      <c r="G20" s="2120"/>
      <c r="H20" s="2120"/>
      <c r="I20" s="2110" t="s">
        <v>42</v>
      </c>
      <c r="J20" s="1204">
        <f>'Part I-Project Identification'!J21</f>
        <v>705</v>
      </c>
      <c r="K20" s="1382"/>
      <c r="L20" s="1382"/>
      <c r="M20" s="2110" t="s">
        <v>43</v>
      </c>
      <c r="N20" s="2120">
        <f>'Part I-Project Identification'!N21</f>
        <v>4042102384</v>
      </c>
      <c r="O20" s="2120"/>
      <c r="P20" s="2120"/>
    </row>
    <row r="21" spans="1:16">
      <c r="A21" s="1382"/>
      <c r="B21" s="2110" t="s">
        <v>44</v>
      </c>
      <c r="C21" s="1382"/>
      <c r="D21" s="1382"/>
      <c r="E21" s="1382"/>
      <c r="F21" s="1382" t="str">
        <f>'Part I-Project Identification'!F22</f>
        <v>treycoogle@reaventures.com</v>
      </c>
      <c r="G21" s="1382"/>
      <c r="H21" s="1382"/>
      <c r="I21" s="1382"/>
      <c r="J21" s="1382"/>
      <c r="K21" s="1382"/>
      <c r="L21" s="1382"/>
      <c r="M21" s="2110" t="s">
        <v>46</v>
      </c>
      <c r="N21" s="2120">
        <f>'Part I-Project Identification'!N22</f>
        <v>4042102384</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52</v>
      </c>
      <c r="B23" s="2103" t="s">
        <v>53</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54</v>
      </c>
      <c r="C25" s="1382"/>
      <c r="D25" s="2103"/>
      <c r="E25" s="1382"/>
      <c r="F25" s="1382" t="str">
        <f>'Part I-Project Identification'!F26</f>
        <v>Abbington Blue Ridge</v>
      </c>
      <c r="G25" s="1382"/>
      <c r="H25" s="1382"/>
      <c r="I25" s="1382"/>
      <c r="J25" s="1382"/>
      <c r="K25" s="1382"/>
      <c r="L25" s="1382"/>
      <c r="M25" s="2110" t="s">
        <v>56</v>
      </c>
      <c r="N25" s="1382"/>
      <c r="O25" s="1382"/>
      <c r="P25" s="2121" t="str">
        <f>'Part I-Project Identification'!P26</f>
        <v>No</v>
      </c>
    </row>
    <row r="26" spans="1:16">
      <c r="A26" s="2104"/>
      <c r="B26" s="1382" t="s">
        <v>58</v>
      </c>
      <c r="C26" s="1382"/>
      <c r="D26" s="1382"/>
      <c r="E26" s="1382"/>
      <c r="F26" s="1382" t="str">
        <f>'Part I-Project Identification'!F27</f>
        <v>Blue Ridge</v>
      </c>
      <c r="G26" s="1382"/>
      <c r="H26" s="1382"/>
      <c r="I26" s="2122" t="s">
        <v>60</v>
      </c>
      <c r="J26" s="1382" t="str">
        <f>'Part I-Project Identification'!J27</f>
        <v>Fannin</v>
      </c>
      <c r="K26" s="1382"/>
      <c r="L26" s="1382"/>
      <c r="M26" s="2110" t="s">
        <v>61</v>
      </c>
      <c r="N26" s="1382"/>
      <c r="O26" s="1382"/>
      <c r="P26" s="2121" t="str">
        <f>'Part I-Project Identification'!P27</f>
        <v>No</v>
      </c>
    </row>
    <row r="27" spans="1:16">
      <c r="A27" s="2104"/>
      <c r="B27" s="1382" t="s">
        <v>62</v>
      </c>
      <c r="C27" s="2123"/>
      <c r="D27" s="1257"/>
      <c r="E27" s="1257"/>
      <c r="F27" s="1382" t="str">
        <f>'Part I-Project Identification'!F28</f>
        <v>Unincorporated County</v>
      </c>
      <c r="G27" s="1382"/>
      <c r="H27" s="1382"/>
      <c r="I27" s="1204"/>
      <c r="J27" s="273" t="s">
        <v>64</v>
      </c>
      <c r="K27" s="1204"/>
      <c r="L27" s="1382"/>
      <c r="M27" s="2110" t="s">
        <v>65</v>
      </c>
      <c r="N27" s="1382"/>
      <c r="O27" s="2124">
        <f>'Part I-Project Identification'!O28</f>
        <v>11.52</v>
      </c>
      <c r="P27" s="2124"/>
    </row>
    <row r="28" spans="1:16">
      <c r="A28" s="2104"/>
      <c r="B28" s="1382" t="s">
        <v>66</v>
      </c>
      <c r="C28" s="1382"/>
      <c r="D28" s="1382"/>
      <c r="E28" s="1382"/>
      <c r="F28" s="2110" t="str">
        <f>'Part I-Project Identification'!F29</f>
        <v>Yes</v>
      </c>
      <c r="G28" s="1382"/>
      <c r="H28" s="1382"/>
      <c r="I28" s="1204"/>
      <c r="J28" s="1204" t="s">
        <v>68</v>
      </c>
      <c r="K28" s="1204" t="str">
        <f>'Part I-Project Identification'!K29</f>
        <v>Rural</v>
      </c>
      <c r="L28" s="1382"/>
      <c r="M28" s="2110" t="s">
        <v>69</v>
      </c>
      <c r="N28" s="2104" t="str">
        <f>'Part I-Project Identification'!N29</f>
        <v>Non-MSA</v>
      </c>
      <c r="O28" s="1382" t="str">
        <f>'Part I-Project Identification'!O29</f>
        <v>Fannin Co.</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70</v>
      </c>
      <c r="B30" s="2113" t="s">
        <v>71</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72</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73</v>
      </c>
      <c r="D34" s="2078"/>
      <c r="E34" s="1382"/>
      <c r="F34" s="1382"/>
      <c r="G34" s="1382"/>
      <c r="H34" s="1382"/>
      <c r="I34" s="1257"/>
      <c r="J34" s="1382"/>
      <c r="K34" s="2103"/>
      <c r="L34" s="1382" t="s">
        <v>74</v>
      </c>
      <c r="M34" s="1382"/>
      <c r="N34" s="1382"/>
      <c r="O34" s="1382"/>
      <c r="P34" s="1257"/>
    </row>
    <row r="35" spans="1:17" ht="12.95" hidden="1" customHeight="1">
      <c r="A35" s="2104"/>
      <c r="B35" s="2103"/>
      <c r="C35" s="1382" t="s">
        <v>75</v>
      </c>
      <c r="D35" s="1382"/>
      <c r="E35" s="1382"/>
      <c r="F35" s="1382"/>
      <c r="G35" s="1382"/>
      <c r="H35" s="1382"/>
      <c r="I35" s="1257"/>
      <c r="J35" s="2122" t="s">
        <v>76</v>
      </c>
      <c r="K35" s="1382"/>
      <c r="L35" s="1382"/>
      <c r="M35" s="1382"/>
      <c r="N35" s="1382"/>
      <c r="O35" s="2128"/>
      <c r="P35" s="2128"/>
    </row>
    <row r="36" spans="1:17">
      <c r="A36" s="2104"/>
      <c r="B36" s="2103"/>
      <c r="C36" s="1382" t="s">
        <v>77</v>
      </c>
      <c r="D36" s="1382"/>
      <c r="E36" s="1382"/>
      <c r="F36" s="1382"/>
      <c r="G36" s="1382"/>
      <c r="H36" s="1382"/>
      <c r="I36" s="1257"/>
      <c r="J36" s="2122" t="s">
        <v>76</v>
      </c>
      <c r="K36" s="1382"/>
      <c r="L36" s="1382"/>
      <c r="M36" s="1382"/>
      <c r="N36" s="1382"/>
      <c r="O36" s="2128">
        <f>'Part I-Project Identification'!O37</f>
        <v>0</v>
      </c>
      <c r="P36" s="2128"/>
    </row>
    <row r="37" spans="1:17">
      <c r="A37" s="2104"/>
      <c r="B37" s="2104"/>
      <c r="C37" s="1382" t="s">
        <v>78</v>
      </c>
      <c r="D37" s="1382"/>
      <c r="E37" s="1382"/>
      <c r="F37" s="1382"/>
      <c r="G37" s="1382"/>
      <c r="H37" s="1382"/>
      <c r="I37" s="1257"/>
      <c r="J37" s="2122" t="s">
        <v>76</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79</v>
      </c>
      <c r="B40" s="271"/>
      <c r="C40" s="271" t="s">
        <v>80</v>
      </c>
      <c r="D40" s="272"/>
      <c r="E40" s="272"/>
      <c r="F40" s="272"/>
      <c r="G40" s="272"/>
      <c r="H40" s="272"/>
      <c r="I40" s="272"/>
      <c r="J40" s="272"/>
      <c r="K40" s="272"/>
      <c r="L40" s="272"/>
      <c r="M40" s="2113" t="s">
        <v>81</v>
      </c>
      <c r="N40" s="271" t="s">
        <v>82</v>
      </c>
      <c r="O40" s="272"/>
      <c r="P40" s="272"/>
    </row>
    <row r="41" spans="1:17">
      <c r="A41" s="2113"/>
      <c r="B41" s="271"/>
      <c r="C41" s="271"/>
      <c r="D41" s="272"/>
      <c r="E41" s="272"/>
      <c r="F41" s="272"/>
      <c r="G41" s="272"/>
      <c r="H41" s="272"/>
      <c r="I41" s="272"/>
      <c r="J41" s="272"/>
      <c r="K41" s="272"/>
      <c r="L41" s="272"/>
      <c r="M41" s="2113"/>
      <c r="N41" s="271"/>
      <c r="O41" s="272"/>
      <c r="P41" s="272"/>
    </row>
    <row r="42" spans="1:17">
      <c r="A42" s="2129" t="str">
        <f>'Part I-Project Identification'!A43</f>
        <v>All development team members are experienced in multifamily LIHTC housing.  Project team was deemed "Qualified" by DCA on 5/01/2024 for a smilar project, Abbington Bluff (2024QD087).  The same develoment team as was proposed at pre-application for Abbington Bluff will comprise the development team for Abbington Blue Ridge.  There has been no change to the Project Team since Pre-App.  A copy of the Qualification Determination is in Tab 06.</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Abbington Blue Ridge, Blue Ridge, Fannin County</v>
      </c>
      <c r="B45" s="2103"/>
      <c r="C45" s="2103"/>
      <c r="D45" s="2103"/>
      <c r="E45" s="2103"/>
      <c r="F45" s="2103"/>
      <c r="G45" s="2103"/>
      <c r="H45" s="2103"/>
      <c r="I45" s="2103"/>
      <c r="J45" s="2103"/>
      <c r="K45" s="2103"/>
      <c r="L45" s="2103"/>
      <c r="M45" s="2103"/>
      <c r="N45" s="2103"/>
      <c r="O45" s="2103"/>
      <c r="P45" s="2103"/>
      <c r="Q45" s="2103"/>
    </row>
    <row r="46" spans="1:17">
      <c r="A46" s="272"/>
      <c r="B46" s="272"/>
      <c r="C46" s="272"/>
      <c r="D46" s="272"/>
      <c r="E46" s="272"/>
      <c r="F46" s="272"/>
      <c r="G46" s="253"/>
      <c r="H46" s="253"/>
      <c r="I46" s="253"/>
      <c r="J46" s="253"/>
      <c r="K46" s="253"/>
      <c r="L46" s="253"/>
      <c r="M46" s="2076"/>
      <c r="N46" s="2076"/>
      <c r="O46" s="2076"/>
      <c r="P46" s="2076"/>
      <c r="Q46" s="2076"/>
    </row>
    <row r="47" spans="1:17" ht="14.1">
      <c r="A47" s="2103" t="s">
        <v>21</v>
      </c>
      <c r="B47" s="2103" t="s">
        <v>362</v>
      </c>
      <c r="C47" s="1382"/>
      <c r="D47" s="1382"/>
      <c r="E47" s="1382"/>
      <c r="F47" s="1382"/>
      <c r="G47" s="1382"/>
      <c r="H47" s="2077"/>
      <c r="I47" s="2077"/>
      <c r="J47" s="2077"/>
      <c r="K47" s="2077"/>
      <c r="L47" s="2130" t="str">
        <f>'Part I-Project Identification'!$A$6</f>
        <v>2024 May 7</v>
      </c>
      <c r="M47" s="2130"/>
      <c r="N47" s="2130"/>
      <c r="O47" s="2130"/>
      <c r="P47" s="2130"/>
      <c r="Q47" s="2077"/>
    </row>
    <row r="48" spans="1:17">
      <c r="A48" s="271"/>
      <c r="B48" s="2104"/>
      <c r="C48" s="271"/>
      <c r="D48" s="1382"/>
      <c r="E48" s="1382"/>
      <c r="F48" s="1382"/>
      <c r="G48" s="1382"/>
      <c r="H48" s="2077"/>
      <c r="I48" s="2077"/>
      <c r="J48" s="2077"/>
      <c r="K48" s="2077"/>
      <c r="L48" s="2077"/>
      <c r="M48" s="2077"/>
      <c r="N48" s="2077"/>
      <c r="O48" s="2077"/>
      <c r="P48" s="2077"/>
      <c r="Q48" s="2077"/>
    </row>
    <row r="49" spans="1:17">
      <c r="A49" s="2104"/>
      <c r="B49" s="1204" t="str">
        <f>'Part II-Sources of Funds'!B6</f>
        <v>Yes</v>
      </c>
      <c r="C49" s="2107" t="s">
        <v>364</v>
      </c>
      <c r="D49" s="1382"/>
      <c r="E49" s="1204" t="str">
        <f>'Part II-Sources of Funds'!E6</f>
        <v>No</v>
      </c>
      <c r="F49" s="2107" t="s">
        <v>365</v>
      </c>
      <c r="G49" s="1382"/>
      <c r="H49" s="2077"/>
      <c r="I49" s="2131">
        <f>'Part II-Sources of Funds'!I6</f>
        <v>0</v>
      </c>
      <c r="J49" s="253"/>
      <c r="K49" s="2077"/>
      <c r="L49" s="1204" t="str">
        <f>'Part II-Sources of Funds'!L6</f>
        <v>No</v>
      </c>
      <c r="M49" s="2107" t="s">
        <v>366</v>
      </c>
      <c r="N49" s="2077"/>
      <c r="O49" s="2077"/>
      <c r="P49" s="2077"/>
      <c r="Q49" s="2129"/>
    </row>
    <row r="50" spans="1:17">
      <c r="A50" s="2104"/>
      <c r="B50" s="1204" t="str">
        <f>'Part II-Sources of Funds'!B7</f>
        <v>No</v>
      </c>
      <c r="C50" s="2107" t="s">
        <v>367</v>
      </c>
      <c r="D50" s="1382"/>
      <c r="E50" s="1204" t="str">
        <f>'Part II-Sources of Funds'!E7</f>
        <v>No</v>
      </c>
      <c r="F50" s="2107" t="s">
        <v>368</v>
      </c>
      <c r="G50" s="2077"/>
      <c r="H50" s="2077"/>
      <c r="I50" s="2131">
        <f>'Part II-Sources of Funds'!I7</f>
        <v>0</v>
      </c>
      <c r="J50" s="253"/>
      <c r="K50" s="2077"/>
      <c r="L50" s="1204" t="str">
        <f>'Part II-Sources of Funds'!L7</f>
        <v>No</v>
      </c>
      <c r="M50" s="2107" t="s">
        <v>369</v>
      </c>
      <c r="N50" s="2077"/>
      <c r="O50" s="2077"/>
      <c r="P50" s="2129"/>
      <c r="Q50" s="2129"/>
    </row>
    <row r="51" spans="1:17">
      <c r="A51" s="1382"/>
      <c r="B51" s="1204" t="str">
        <f>'Part II-Sources of Funds'!B8</f>
        <v>No</v>
      </c>
      <c r="C51" s="2107" t="s">
        <v>370</v>
      </c>
      <c r="D51" s="2077"/>
      <c r="E51" s="2077"/>
      <c r="F51" s="2077" t="s">
        <v>371</v>
      </c>
      <c r="G51" s="2077"/>
      <c r="H51" s="2077" t="str">
        <f>'Part II-Sources of Funds'!H8</f>
        <v>Specify Other HOME Source here</v>
      </c>
      <c r="I51" s="2077"/>
      <c r="J51" s="2077"/>
      <c r="K51" s="2077"/>
      <c r="L51" s="1204" t="str">
        <f>'Part II-Sources of Funds'!L8</f>
        <v>No</v>
      </c>
      <c r="M51" s="2107" t="s">
        <v>373</v>
      </c>
      <c r="N51" s="2077"/>
      <c r="O51" s="2077"/>
      <c r="P51" s="2129"/>
      <c r="Q51" s="2129"/>
    </row>
    <row r="52" spans="1:17">
      <c r="A52" s="2104"/>
      <c r="B52" s="1204" t="str">
        <f>'Part II-Sources of Funds'!B9</f>
        <v>No</v>
      </c>
      <c r="C52" s="2077" t="s">
        <v>374</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376</v>
      </c>
      <c r="N52" s="2077"/>
      <c r="O52" s="2077"/>
      <c r="P52" s="2077"/>
      <c r="Q52" s="2129"/>
    </row>
    <row r="53" spans="1:17">
      <c r="A53" s="2104"/>
      <c r="B53" s="1204" t="str">
        <f>'Part II-Sources of Funds'!B10</f>
        <v>No</v>
      </c>
      <c r="C53" s="2107" t="s">
        <v>377</v>
      </c>
      <c r="D53" s="2077"/>
      <c r="E53" s="2077"/>
      <c r="F53" s="2077" t="str">
        <f>'Part II-Sources of Funds'!F10</f>
        <v>Specify Source/Administrator of Other FEDERAL Funding here</v>
      </c>
      <c r="G53" s="2077"/>
      <c r="H53" s="2077"/>
      <c r="I53" s="2077"/>
      <c r="J53" s="2077"/>
      <c r="K53" s="2077"/>
      <c r="L53" s="1204" t="str">
        <f>'Part II-Sources of Funds'!L10</f>
        <v>No</v>
      </c>
      <c r="M53" s="2107" t="s">
        <v>379</v>
      </c>
      <c r="N53" s="2077"/>
      <c r="O53" s="2077"/>
      <c r="P53" s="2129"/>
      <c r="Q53" s="2129"/>
    </row>
    <row r="54" spans="1:17">
      <c r="A54" s="2104"/>
      <c r="B54" s="1204" t="str">
        <f>'Part II-Sources of Funds'!B11</f>
        <v>No</v>
      </c>
      <c r="C54" s="2107" t="s">
        <v>380</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382</v>
      </c>
      <c r="N54" s="2077"/>
      <c r="O54" s="2077"/>
      <c r="P54" s="2077"/>
      <c r="Q54" s="2077"/>
    </row>
    <row r="55" spans="1:17">
      <c r="A55" s="2104"/>
      <c r="B55" s="1204" t="str">
        <f>'Part II-Sources of Funds'!B12</f>
        <v>No</v>
      </c>
      <c r="C55" s="2107" t="s">
        <v>383</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385</v>
      </c>
      <c r="N55" s="2077"/>
      <c r="O55" s="2077"/>
      <c r="P55" s="2077"/>
      <c r="Q55" s="2077"/>
    </row>
    <row r="56" spans="1:17">
      <c r="A56" s="2104"/>
      <c r="B56" s="1204" t="str">
        <f>'Part II-Sources of Funds'!B13</f>
        <v>No</v>
      </c>
      <c r="C56" s="2107" t="s">
        <v>386</v>
      </c>
      <c r="D56" s="2077"/>
      <c r="E56" s="1204" t="str">
        <f>'Part II-Sources of Funds'!E13</f>
        <v>No</v>
      </c>
      <c r="F56" s="2107" t="s">
        <v>387</v>
      </c>
      <c r="G56" s="2077"/>
      <c r="H56" s="2077" t="str">
        <f>'Part II-Sources of Funds'!H13</f>
        <v>Specify Other PBRA Source here</v>
      </c>
      <c r="I56" s="2077"/>
      <c r="J56" s="2077"/>
      <c r="K56" s="2077"/>
      <c r="L56" s="1204" t="str">
        <f>'Part II-Sources of Funds'!L13</f>
        <v>No</v>
      </c>
      <c r="M56" s="2077" t="s">
        <v>389</v>
      </c>
      <c r="N56" s="2077"/>
      <c r="O56" s="2077"/>
      <c r="P56" s="2077"/>
      <c r="Q56" s="2077"/>
    </row>
    <row r="57" spans="1:17">
      <c r="A57" s="2104"/>
      <c r="B57" s="1204" t="str">
        <f>'Part II-Sources of Funds'!B14</f>
        <v>No</v>
      </c>
      <c r="C57" s="2077" t="s">
        <v>390</v>
      </c>
      <c r="D57" s="2077"/>
      <c r="E57" s="1204" t="str">
        <f>'Part II-Sources of Funds'!E14</f>
        <v>No</v>
      </c>
      <c r="F57" s="2107" t="s">
        <v>391</v>
      </c>
      <c r="G57" s="2077"/>
      <c r="H57" s="2077"/>
      <c r="I57" s="2077"/>
      <c r="J57" s="2077"/>
      <c r="K57" s="2077"/>
      <c r="L57" s="1204" t="str">
        <f>'Part II-Sources of Funds'!L14</f>
        <v>No</v>
      </c>
      <c r="M57" s="2077" t="s">
        <v>392</v>
      </c>
      <c r="N57" s="2077"/>
      <c r="O57" s="2077"/>
      <c r="P57" s="2077"/>
      <c r="Q57" s="2077"/>
    </row>
    <row r="58" spans="1:17">
      <c r="A58" s="2104"/>
      <c r="B58" s="1204" t="str">
        <f>'Part II-Sources of Funds'!B15</f>
        <v>No</v>
      </c>
      <c r="C58" s="2077" t="s">
        <v>393</v>
      </c>
      <c r="D58" s="2077"/>
      <c r="E58" s="1204" t="str">
        <f>'Part II-Sources of Funds'!E15</f>
        <v>No</v>
      </c>
      <c r="F58" s="2107" t="s">
        <v>394</v>
      </c>
      <c r="G58" s="2077"/>
      <c r="H58" s="2077"/>
      <c r="I58" s="2077"/>
      <c r="J58" s="2077"/>
      <c r="K58" s="2077"/>
      <c r="L58" s="1204" t="str">
        <f>'Part II-Sources of Funds'!L15</f>
        <v>No</v>
      </c>
      <c r="M58" s="2129" t="s">
        <v>395</v>
      </c>
      <c r="N58" s="2077"/>
      <c r="O58" s="2077"/>
      <c r="P58" s="2077"/>
      <c r="Q58" s="2077"/>
    </row>
    <row r="59" spans="1:17">
      <c r="A59" s="2104"/>
      <c r="B59" s="1204" t="str">
        <f>'Part II-Sources of Funds'!B16</f>
        <v>No</v>
      </c>
      <c r="C59" s="2107" t="s">
        <v>396</v>
      </c>
      <c r="D59" s="2077"/>
      <c r="E59" s="1204" t="str">
        <f>'Part II-Sources of Funds'!E16</f>
        <v>No</v>
      </c>
      <c r="F59" s="2107" t="s">
        <v>397</v>
      </c>
      <c r="G59" s="2077"/>
      <c r="H59" s="2077"/>
      <c r="I59" s="2131">
        <f>'Part II-Sources of Funds'!I16</f>
        <v>0</v>
      </c>
      <c r="J59" s="253"/>
      <c r="K59" s="2077"/>
      <c r="L59" s="1204" t="str">
        <f>'Part II-Sources of Funds'!L16</f>
        <v>No</v>
      </c>
      <c r="M59" s="2129" t="s">
        <v>398</v>
      </c>
      <c r="N59" s="2077"/>
      <c r="O59" s="2077"/>
      <c r="P59" s="2077"/>
      <c r="Q59" s="2077"/>
    </row>
    <row r="60" spans="1:17">
      <c r="A60" s="2104"/>
      <c r="B60" s="2077" t="s">
        <v>399</v>
      </c>
      <c r="C60" s="1382"/>
      <c r="D60" s="1382"/>
      <c r="E60" s="1382"/>
      <c r="F60" s="1382"/>
      <c r="G60" s="1382"/>
      <c r="H60" s="1382"/>
      <c r="I60" s="1382"/>
      <c r="J60" s="1382"/>
      <c r="K60" s="1382"/>
      <c r="L60" s="1382"/>
      <c r="M60" s="2076"/>
      <c r="N60" s="1382"/>
      <c r="O60" s="1382"/>
      <c r="P60" s="1382"/>
      <c r="Q60" s="1382"/>
    </row>
    <row r="61" spans="1:17">
      <c r="A61" s="2104"/>
      <c r="B61" s="2077"/>
      <c r="C61" s="2077"/>
      <c r="D61" s="2077"/>
      <c r="E61" s="2077"/>
      <c r="F61" s="2077"/>
      <c r="G61" s="2077"/>
      <c r="H61" s="2077"/>
      <c r="I61" s="2077"/>
      <c r="J61" s="2077"/>
      <c r="K61" s="2077"/>
      <c r="L61" s="1382"/>
      <c r="M61" s="272"/>
      <c r="N61" s="1382"/>
      <c r="O61" s="1382"/>
      <c r="P61" s="1382"/>
      <c r="Q61" s="1382"/>
    </row>
    <row r="62" spans="1:17">
      <c r="A62" s="2103" t="s">
        <v>25</v>
      </c>
      <c r="B62" s="2113" t="s">
        <v>400</v>
      </c>
      <c r="C62" s="1382"/>
      <c r="D62" s="1382"/>
      <c r="E62" s="1382"/>
      <c r="F62" s="1382"/>
      <c r="G62" s="1382"/>
      <c r="H62" s="2078"/>
      <c r="I62" s="2078"/>
      <c r="J62" s="2078"/>
      <c r="K62" s="2078"/>
      <c r="L62" s="1382"/>
      <c r="M62" s="1382"/>
      <c r="N62" s="1382"/>
      <c r="O62" s="1382"/>
      <c r="P62" s="1382"/>
      <c r="Q62" s="1382"/>
    </row>
    <row r="63" spans="1:17">
      <c r="A63" s="2103"/>
      <c r="B63" s="2113"/>
      <c r="C63" s="1382"/>
      <c r="D63" s="2078"/>
      <c r="E63" s="2078"/>
      <c r="F63" s="2078"/>
      <c r="G63" s="2078"/>
      <c r="H63" s="2078"/>
      <c r="I63" s="2078"/>
      <c r="J63" s="2078"/>
      <c r="K63" s="1382"/>
      <c r="L63" s="1382"/>
      <c r="M63" s="1382"/>
      <c r="N63" s="1204"/>
      <c r="O63" s="1204"/>
      <c r="P63" s="1382"/>
      <c r="Q63" s="1382"/>
    </row>
    <row r="64" spans="1:17">
      <c r="A64" s="1382"/>
      <c r="B64" s="2110" t="s">
        <v>401</v>
      </c>
      <c r="C64" s="1382"/>
      <c r="D64" s="1382"/>
      <c r="E64" s="1382"/>
      <c r="F64" s="1382"/>
      <c r="G64" s="1382"/>
      <c r="H64" s="1382" t="s">
        <v>402</v>
      </c>
      <c r="I64" s="1382"/>
      <c r="J64" s="1382"/>
      <c r="K64" s="1382"/>
      <c r="L64" s="1382" t="s">
        <v>403</v>
      </c>
      <c r="M64" s="1382"/>
      <c r="N64" s="1382" t="s">
        <v>404</v>
      </c>
      <c r="O64" s="1382"/>
      <c r="P64" s="1382" t="s">
        <v>405</v>
      </c>
      <c r="Q64" s="1382"/>
    </row>
    <row r="65" spans="1:17">
      <c r="A65" s="1382"/>
      <c r="B65" s="1382" t="s">
        <v>407</v>
      </c>
      <c r="C65" s="1382"/>
      <c r="D65" s="1382"/>
      <c r="E65" s="1382"/>
      <c r="F65" s="1382"/>
      <c r="G65" s="1382"/>
      <c r="H65" s="1382" t="str">
        <f>'Part II-Sources of Funds'!H22</f>
        <v>Churchill Stateside Group, LLC</v>
      </c>
      <c r="I65" s="1382"/>
      <c r="J65" s="1382"/>
      <c r="K65" s="1382"/>
      <c r="L65" s="2132">
        <f>'Part II-Sources of Funds'!L22</f>
        <v>12000000</v>
      </c>
      <c r="M65" s="2132"/>
      <c r="N65" s="2133">
        <f>'Part II-Sources of Funds'!N22</f>
        <v>8.5000000000000006E-2</v>
      </c>
      <c r="O65" s="2133"/>
      <c r="P65" s="2134">
        <f>'Part II-Sources of Funds'!P22</f>
        <v>24</v>
      </c>
      <c r="Q65" s="2134"/>
    </row>
    <row r="66" spans="1:17">
      <c r="A66" s="1382"/>
      <c r="B66" s="1382" t="s">
        <v>410</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c r="A67" s="1382"/>
      <c r="B67" s="1382" t="s">
        <v>412</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414</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c r="A69" s="1382"/>
      <c r="B69" s="1382" t="s">
        <v>416</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c r="A70" s="1382"/>
      <c r="B70" s="1382" t="s">
        <v>418</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c r="A71" s="1382"/>
      <c r="B71" s="1382" t="s">
        <v>420</v>
      </c>
      <c r="C71" s="1382"/>
      <c r="D71" s="1382"/>
      <c r="E71" s="1382"/>
      <c r="F71" s="2077"/>
      <c r="G71" s="2077"/>
      <c r="H71" s="1382" t="str">
        <f>'Part II-Sources of Funds'!H28</f>
        <v>Churchill Stateside Group, LLC</v>
      </c>
      <c r="I71" s="1382"/>
      <c r="J71" s="1382"/>
      <c r="K71" s="1382"/>
      <c r="L71" s="2132">
        <f>'Part II-Sources of Funds'!L28</f>
        <v>5852997</v>
      </c>
      <c r="M71" s="2132"/>
      <c r="N71" s="1382"/>
      <c r="O71" s="2077"/>
      <c r="P71" s="2077"/>
      <c r="Q71" s="1382"/>
    </row>
    <row r="72" spans="1:17">
      <c r="A72" s="1382"/>
      <c r="B72" s="1382" t="s">
        <v>422</v>
      </c>
      <c r="C72" s="1382"/>
      <c r="D72" s="1382"/>
      <c r="E72" s="1382"/>
      <c r="F72" s="2077"/>
      <c r="G72" s="2077"/>
      <c r="H72" s="1382" t="str">
        <f>'Part II-Sources of Funds'!H29</f>
        <v>Churchill Stateside Group, LLC</v>
      </c>
      <c r="I72" s="1382"/>
      <c r="J72" s="1382"/>
      <c r="K72" s="1382"/>
      <c r="L72" s="2132">
        <f>'Part II-Sources of Funds'!L29</f>
        <v>3658857</v>
      </c>
      <c r="M72" s="2132"/>
      <c r="N72" s="1382"/>
      <c r="O72" s="2077"/>
      <c r="P72" s="2077"/>
      <c r="Q72" s="1382"/>
    </row>
    <row r="73" spans="1:17">
      <c r="A73" s="1382"/>
      <c r="B73" s="1382" t="s">
        <v>424</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c r="A74" s="1382"/>
      <c r="B74" s="1382" t="s">
        <v>424</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c r="A75" s="1382"/>
      <c r="B75" s="1382" t="s">
        <v>424</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c r="A76" s="1382"/>
      <c r="B76" s="2113" t="s">
        <v>427</v>
      </c>
      <c r="C76" s="1382"/>
      <c r="D76" s="1382"/>
      <c r="E76" s="1382"/>
      <c r="F76" s="1382"/>
      <c r="G76" s="1382"/>
      <c r="H76" s="1382"/>
      <c r="I76" s="1382"/>
      <c r="J76" s="2077"/>
      <c r="K76" s="2077"/>
      <c r="L76" s="2135">
        <f>SUM(L65:L75)</f>
        <v>21511854</v>
      </c>
      <c r="M76" s="2135"/>
      <c r="N76" s="272"/>
      <c r="O76" s="2077"/>
      <c r="P76" s="2077"/>
      <c r="Q76" s="2077"/>
    </row>
    <row r="77" spans="1:17">
      <c r="A77" s="1382"/>
      <c r="B77" s="2110" t="s">
        <v>428</v>
      </c>
      <c r="C77" s="1382"/>
      <c r="D77" s="1382"/>
      <c r="E77" s="1382"/>
      <c r="F77" s="1382"/>
      <c r="G77" s="1382"/>
      <c r="H77" s="1382"/>
      <c r="I77" s="1382"/>
      <c r="J77" s="2077"/>
      <c r="K77" s="2077"/>
      <c r="L77" s="2135">
        <f>'Part II-Sources of Funds'!L34</f>
        <v>16461066</v>
      </c>
      <c r="M77" s="2135"/>
      <c r="N77" s="272"/>
      <c r="O77" s="2077"/>
      <c r="P77" s="2077"/>
      <c r="Q77" s="2077"/>
    </row>
    <row r="78" spans="1:17">
      <c r="A78" s="1382"/>
      <c r="B78" s="2110" t="s">
        <v>429</v>
      </c>
      <c r="C78" s="1382"/>
      <c r="D78" s="1382"/>
      <c r="E78" s="1382"/>
      <c r="F78" s="1382"/>
      <c r="G78" s="1382"/>
      <c r="H78" s="1382"/>
      <c r="I78" s="1382"/>
      <c r="J78" s="2077"/>
      <c r="K78" s="2077"/>
      <c r="L78" s="2136">
        <f>L76-L77</f>
        <v>5050788</v>
      </c>
      <c r="M78" s="2136"/>
      <c r="N78" s="272"/>
      <c r="O78" s="2077"/>
      <c r="P78" s="2077"/>
      <c r="Q78" s="2077"/>
    </row>
    <row r="79" spans="1:17">
      <c r="A79" s="271"/>
      <c r="B79" s="2113"/>
      <c r="C79" s="272"/>
      <c r="D79" s="272"/>
      <c r="E79" s="272"/>
      <c r="F79" s="272"/>
      <c r="G79" s="272"/>
      <c r="H79" s="272"/>
      <c r="I79" s="272"/>
      <c r="J79" s="272"/>
      <c r="K79" s="272"/>
      <c r="L79" s="272"/>
      <c r="M79" s="1204"/>
      <c r="N79" s="1204"/>
      <c r="O79" s="2076"/>
      <c r="P79" s="2076"/>
      <c r="Q79" s="2076"/>
    </row>
    <row r="80" spans="1:17">
      <c r="A80" s="2103" t="s">
        <v>32</v>
      </c>
      <c r="B80" s="2113" t="s">
        <v>430</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431</v>
      </c>
      <c r="L81" s="1204" t="s">
        <v>432</v>
      </c>
      <c r="M81" s="1204" t="s">
        <v>433</v>
      </c>
      <c r="N81" s="2077"/>
      <c r="O81" s="2077"/>
      <c r="P81" s="272" t="s">
        <v>434</v>
      </c>
      <c r="Q81" s="272"/>
    </row>
    <row r="82" spans="1:17">
      <c r="A82" s="1382"/>
      <c r="B82" s="2110" t="s">
        <v>401</v>
      </c>
      <c r="C82" s="1382"/>
      <c r="D82" s="1382"/>
      <c r="E82" s="1382" t="s">
        <v>402</v>
      </c>
      <c r="F82" s="1382"/>
      <c r="G82" s="1382"/>
      <c r="H82" s="1382"/>
      <c r="I82" s="1382" t="s">
        <v>435</v>
      </c>
      <c r="J82" s="1382"/>
      <c r="K82" s="1204" t="s">
        <v>436</v>
      </c>
      <c r="L82" s="1204" t="s">
        <v>437</v>
      </c>
      <c r="M82" s="1204" t="s">
        <v>437</v>
      </c>
      <c r="N82" s="1382" t="s">
        <v>438</v>
      </c>
      <c r="O82" s="1382"/>
      <c r="P82" s="272"/>
      <c r="Q82" s="272"/>
    </row>
    <row r="83" spans="1:17">
      <c r="A83" s="1382"/>
      <c r="B83" s="1382" t="s">
        <v>440</v>
      </c>
      <c r="C83" s="1382"/>
      <c r="D83" s="1382"/>
      <c r="E83" s="1382" t="str">
        <f>'Part II-Sources of Funds'!E40</f>
        <v>Churchill Stateside Group, LLC</v>
      </c>
      <c r="F83" s="1382"/>
      <c r="G83" s="1382"/>
      <c r="H83" s="1382"/>
      <c r="I83" s="2137">
        <f>'Part II-Sources of Funds'!I40</f>
        <v>2530000</v>
      </c>
      <c r="J83" s="1382"/>
      <c r="K83" s="2138">
        <f>'Part II-Sources of Funds'!K40</f>
        <v>7.0000000000000007E-2</v>
      </c>
      <c r="L83" s="1204">
        <f>'Part II-Sources of Funds'!L40</f>
        <v>40</v>
      </c>
      <c r="M83" s="1204">
        <f>'Part II-Sources of Funds'!M40</f>
        <v>40</v>
      </c>
      <c r="N83" s="1382" t="str">
        <f>'Part II-Sources of Funds'!N40</f>
        <v>Amortizing</v>
      </c>
      <c r="O83" s="1382"/>
      <c r="P83" s="2139">
        <f>'Part II-Sources of Funds'!P40</f>
        <v>188666.53650856763</v>
      </c>
      <c r="Q83" s="2139"/>
    </row>
    <row r="84" spans="1:17">
      <c r="A84" s="1382"/>
      <c r="B84" s="1382" t="s">
        <v>443</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c r="A85" s="1382"/>
      <c r="B85" s="1382" t="s">
        <v>445</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447</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449</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451</v>
      </c>
      <c r="C88" s="1382"/>
      <c r="D88" s="2140">
        <f>'Part II-Sources of Funds'!D45</f>
        <v>0.2128307210031348</v>
      </c>
      <c r="E88" s="1382" t="str">
        <f>'Part II-Sources of Funds'!E45</f>
        <v>Rea Ventures Group LLC</v>
      </c>
      <c r="F88" s="1382"/>
      <c r="G88" s="1382"/>
      <c r="H88" s="1382"/>
      <c r="I88" s="2137">
        <f>'Part II-Sources of Funds'!I45</f>
        <v>339465</v>
      </c>
      <c r="J88" s="1382"/>
      <c r="K88" s="2138">
        <f>'Part II-Sources of Funds'!K45</f>
        <v>0</v>
      </c>
      <c r="L88" s="1204">
        <f>'Part II-Sources of Funds'!L45</f>
        <v>13</v>
      </c>
      <c r="M88" s="1204">
        <f>'Part II-Sources of Funds'!M45</f>
        <v>0</v>
      </c>
      <c r="N88" s="1382" t="str">
        <f>'Part II-Sources of Funds'!N45</f>
        <v>Cash Flow</v>
      </c>
      <c r="O88" s="1382"/>
      <c r="P88" s="2139">
        <f>'Part II-Sources of Funds'!P45</f>
        <v>0</v>
      </c>
      <c r="Q88" s="2139"/>
    </row>
    <row r="89" spans="1:17">
      <c r="A89" s="1382"/>
      <c r="B89" s="1382"/>
      <c r="C89" s="1382"/>
      <c r="D89" s="1382"/>
      <c r="E89" s="1382"/>
      <c r="F89" s="1382"/>
      <c r="G89" s="1382"/>
      <c r="H89" s="1382"/>
      <c r="I89" s="2141"/>
      <c r="J89" s="2142"/>
      <c r="K89" s="2138"/>
      <c r="L89" s="1204"/>
      <c r="M89" s="1204"/>
      <c r="N89" s="2143"/>
      <c r="O89" s="2143"/>
      <c r="P89" s="1204"/>
      <c r="Q89" s="1204"/>
    </row>
    <row r="90" spans="1:17">
      <c r="A90" s="1382"/>
      <c r="B90" s="2077" t="s">
        <v>454</v>
      </c>
      <c r="C90" s="1382"/>
      <c r="D90" s="2077"/>
      <c r="E90" s="2077" t="s">
        <v>455</v>
      </c>
      <c r="F90" s="2144">
        <f>'Part II-Sources of Funds'!F47</f>
        <v>479097.23800686229</v>
      </c>
      <c r="G90" s="2077"/>
      <c r="H90" s="2145" t="s">
        <v>456</v>
      </c>
      <c r="I90" s="2144">
        <f>'Part II-Sources of Funds'!I47</f>
        <v>339465</v>
      </c>
      <c r="J90" s="2077"/>
      <c r="K90" s="2145" t="s">
        <v>457</v>
      </c>
      <c r="L90" s="2146">
        <f>'Part II-Sources of Funds'!L47</f>
        <v>0.70855136091420701</v>
      </c>
      <c r="M90" s="2146"/>
      <c r="N90" s="2139" t="s">
        <v>458</v>
      </c>
      <c r="O90" s="2139"/>
      <c r="P90" s="1383">
        <f>'Part II-Sources of Funds'!P47</f>
        <v>0</v>
      </c>
      <c r="Q90" s="1383"/>
    </row>
    <row r="91" spans="1:17">
      <c r="A91" s="1382"/>
      <c r="B91" s="1382"/>
      <c r="C91" s="1382"/>
      <c r="D91" s="1382"/>
      <c r="E91" s="1382"/>
      <c r="F91" s="1382"/>
      <c r="G91" s="1382"/>
      <c r="H91" s="1382"/>
      <c r="I91" s="2141"/>
      <c r="J91" s="2142"/>
      <c r="K91" s="2138"/>
      <c r="L91" s="1204"/>
      <c r="M91" s="1204"/>
      <c r="N91" s="2143"/>
      <c r="O91" s="2143"/>
      <c r="P91" s="1204"/>
      <c r="Q91" s="1204"/>
    </row>
    <row r="92" spans="1:17">
      <c r="A92" s="1382"/>
      <c r="B92" s="1382" t="s">
        <v>414</v>
      </c>
      <c r="C92" s="1382"/>
      <c r="D92" s="1382"/>
      <c r="E92" s="1382">
        <f>'Part II-Sources of Funds'!E49</f>
        <v>0</v>
      </c>
      <c r="F92" s="1382"/>
      <c r="G92" s="1382"/>
      <c r="H92" s="1382"/>
      <c r="I92" s="2137">
        <f>'Part II-Sources of Funds'!I49</f>
        <v>0</v>
      </c>
      <c r="J92" s="1382"/>
      <c r="K92" s="1382"/>
      <c r="L92" s="1382"/>
      <c r="M92" s="1382"/>
      <c r="N92" s="1382"/>
      <c r="O92" s="1382"/>
      <c r="P92" s="1204" t="s">
        <v>460</v>
      </c>
      <c r="Q92" s="1382"/>
    </row>
    <row r="93" spans="1:17">
      <c r="A93" s="1382"/>
      <c r="B93" s="1382" t="s">
        <v>416</v>
      </c>
      <c r="C93" s="1382"/>
      <c r="D93" s="1382"/>
      <c r="E93" s="1382">
        <f>'Part II-Sources of Funds'!E50</f>
        <v>0</v>
      </c>
      <c r="F93" s="1382"/>
      <c r="G93" s="1382"/>
      <c r="H93" s="1382"/>
      <c r="I93" s="2137">
        <f>'Part II-Sources of Funds'!I50</f>
        <v>0</v>
      </c>
      <c r="J93" s="1382"/>
      <c r="K93" s="2077"/>
      <c r="L93" s="2147" t="s">
        <v>462</v>
      </c>
      <c r="M93" s="2147"/>
      <c r="N93" s="2148" t="s">
        <v>463</v>
      </c>
      <c r="O93" s="2148"/>
      <c r="P93" s="2149" t="s">
        <v>464</v>
      </c>
      <c r="Q93" s="1382"/>
    </row>
    <row r="94" spans="1:17">
      <c r="A94" s="1382"/>
      <c r="B94" s="1382" t="s">
        <v>420</v>
      </c>
      <c r="C94" s="1382"/>
      <c r="D94" s="1382"/>
      <c r="E94" s="1382" t="str">
        <f>'Part II-Sources of Funds'!E51</f>
        <v>Churchill Stateside Group, LLC</v>
      </c>
      <c r="F94" s="1382"/>
      <c r="G94" s="1382"/>
      <c r="H94" s="1382"/>
      <c r="I94" s="2137">
        <f>'Part II-Sources of Funds'!I51</f>
        <v>9290472</v>
      </c>
      <c r="J94" s="1382"/>
      <c r="K94" s="2077"/>
      <c r="L94" s="2150">
        <f>'Part III-A-Uses of Funds'!$J$191*10*'Part III-A-Uses of Funds'!$N$182</f>
        <v>9292336</v>
      </c>
      <c r="M94" s="2150"/>
      <c r="N94" s="2151">
        <f>I94-L94</f>
        <v>-1864</v>
      </c>
      <c r="O94" s="2151"/>
      <c r="P94" s="2152">
        <f>I94/I104</f>
        <v>0.51706670328062432</v>
      </c>
      <c r="Q94" s="1382"/>
    </row>
    <row r="95" spans="1:17">
      <c r="A95" s="1382"/>
      <c r="B95" s="1382" t="s">
        <v>422</v>
      </c>
      <c r="C95" s="1382"/>
      <c r="D95" s="1382"/>
      <c r="E95" s="1382" t="str">
        <f>'Part II-Sources of Funds'!E52</f>
        <v>Churchill Stateside Group, LLC</v>
      </c>
      <c r="F95" s="1382"/>
      <c r="G95" s="1382"/>
      <c r="H95" s="1382"/>
      <c r="I95" s="2137">
        <f>'Part II-Sources of Funds'!I52</f>
        <v>5807710</v>
      </c>
      <c r="J95" s="1382"/>
      <c r="K95" s="2077"/>
      <c r="L95" s="2150">
        <f>'Part III-A-Uses of Funds'!$J$191*10*'Part III-A-Uses of Funds'!$Q$182</f>
        <v>5807710</v>
      </c>
      <c r="M95" s="2150"/>
      <c r="N95" s="2151">
        <f>I95-L95</f>
        <v>0</v>
      </c>
      <c r="O95" s="2151"/>
      <c r="P95" s="2152">
        <f>I95/I104</f>
        <v>0.32323152831308405</v>
      </c>
      <c r="Q95" s="1382"/>
    </row>
    <row r="96" spans="1:17">
      <c r="A96" s="1382"/>
      <c r="B96" s="1382" t="s">
        <v>468</v>
      </c>
      <c r="C96" s="1382"/>
      <c r="D96" s="1382"/>
      <c r="E96" s="1382">
        <f>'Part II-Sources of Funds'!E53</f>
        <v>0</v>
      </c>
      <c r="F96" s="1382"/>
      <c r="G96" s="1382"/>
      <c r="H96" s="1382"/>
      <c r="I96" s="2137">
        <f>'Part II-Sources of Funds'!I53</f>
        <v>0</v>
      </c>
      <c r="J96" s="1382"/>
      <c r="K96" s="2077"/>
      <c r="L96" s="2077"/>
      <c r="M96" s="2077"/>
      <c r="N96" s="2077"/>
      <c r="O96" s="2077"/>
      <c r="P96" s="2152">
        <f>SUM(P94:P95)</f>
        <v>0.84029823159370842</v>
      </c>
      <c r="Q96" s="1382"/>
    </row>
    <row r="97" spans="1:20">
      <c r="A97" s="1382"/>
      <c r="B97" s="1382" t="s">
        <v>469</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c r="A98" s="1382"/>
      <c r="B98" s="1382" t="s">
        <v>470</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c r="A99" s="1382"/>
      <c r="B99" s="1382" t="s">
        <v>471</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c r="A100" s="1382"/>
      <c r="B100" s="1382" t="s">
        <v>447</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447</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447</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c r="A103" s="1382"/>
      <c r="B103" s="2110" t="s">
        <v>475</v>
      </c>
      <c r="C103" s="1382"/>
      <c r="D103" s="1382"/>
      <c r="E103" s="1382"/>
      <c r="F103" s="1382"/>
      <c r="G103" s="1382"/>
      <c r="H103" s="2077"/>
      <c r="I103" s="2135">
        <f>SUM(I83:J88)+SUM(I92:J102)</f>
        <v>17967647</v>
      </c>
      <c r="J103" s="2135"/>
      <c r="K103" s="1382"/>
      <c r="L103" s="1204"/>
      <c r="M103" s="1382"/>
      <c r="N103" s="1382"/>
      <c r="O103" s="1382"/>
      <c r="P103" s="1382"/>
      <c r="Q103" s="1382"/>
    </row>
    <row r="104" spans="1:20">
      <c r="A104" s="1382"/>
      <c r="B104" s="2110" t="s">
        <v>476</v>
      </c>
      <c r="C104" s="1382"/>
      <c r="D104" s="1382"/>
      <c r="E104" s="1382"/>
      <c r="F104" s="1382"/>
      <c r="G104" s="1382"/>
      <c r="H104" s="2077"/>
      <c r="I104" s="2135">
        <f>'Part III-A-Uses of Funds'!$G$146</f>
        <v>17967647</v>
      </c>
      <c r="J104" s="2135"/>
      <c r="K104" s="1382"/>
      <c r="L104" s="1204"/>
      <c r="M104" s="1382"/>
      <c r="N104" s="1382"/>
      <c r="O104" s="1382"/>
      <c r="P104" s="1382"/>
      <c r="Q104" s="1382"/>
    </row>
    <row r="105" spans="1:20">
      <c r="A105" s="1382"/>
      <c r="B105" s="2110" t="s">
        <v>477</v>
      </c>
      <c r="C105" s="1382"/>
      <c r="D105" s="1382"/>
      <c r="E105" s="1382"/>
      <c r="F105" s="1382"/>
      <c r="G105" s="1382"/>
      <c r="H105" s="2077"/>
      <c r="I105" s="2136">
        <f>I103-I104</f>
        <v>0</v>
      </c>
      <c r="J105" s="2136"/>
      <c r="K105" s="1382"/>
      <c r="L105" s="1204"/>
      <c r="M105" s="1382"/>
      <c r="N105" s="1382"/>
      <c r="O105" s="1382"/>
      <c r="P105" s="1382"/>
      <c r="Q105" s="1382"/>
    </row>
    <row r="106" spans="1:20">
      <c r="A106" s="1382" t="s">
        <v>478</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c r="A108" s="2103" t="s">
        <v>52</v>
      </c>
      <c r="B108" s="2103" t="s">
        <v>80</v>
      </c>
      <c r="C108" s="272"/>
      <c r="D108" s="272"/>
      <c r="E108" s="272"/>
      <c r="F108" s="272"/>
      <c r="G108" s="272"/>
      <c r="H108" s="272"/>
      <c r="I108" s="272"/>
      <c r="J108" s="272"/>
      <c r="K108" s="2076"/>
      <c r="L108" s="2076"/>
      <c r="M108" s="2103" t="s">
        <v>52</v>
      </c>
      <c r="N108" s="2103" t="s">
        <v>82</v>
      </c>
      <c r="O108" s="272"/>
      <c r="P108" s="272"/>
      <c r="Q108" s="272"/>
    </row>
    <row r="109" spans="1:20">
      <c r="A109" s="2129" t="str">
        <f>'Part II-Sources of Funds'!A66</f>
        <v>Churchill Stateside Group, LLC has executed a LOI to be the Federal &amp; Sate Investor at a syndication rate of $0.80 &amp; $0.50 respectively, for an allocation of 99.98% ($1,161,309 annually) of the Federal and and allocation of 100% ($1,161,542 annually) of State Credits.  
Federal and State Equity included in in Construction Financing above are equal to the first two contributions.  Construction fund surplus above will be used to pay down the construction loan at construction completion to mitigate interest expense.
Churchill Stateside Group has executed a Commitment for Construction and unrestricted Permanent Financing.  The market rate units to total units percentage is less than the unresricrted permanent financing to development cost percentage.
'* See Tab 08 Readiness Subfolder Tab 01 for a copy of the above Financial Commitments.</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Abbington Blue Ridge,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4.1">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526</v>
      </c>
      <c r="C116" s="1382"/>
      <c r="D116" s="2105" t="str">
        <f>'Part I-Project Identification'!$A$6</f>
        <v>2024 May 7</v>
      </c>
      <c r="E116" s="2105"/>
      <c r="F116" s="2105"/>
      <c r="G116" s="2105"/>
      <c r="H116" s="2105"/>
      <c r="I116" s="2153"/>
      <c r="J116" s="2103" t="s">
        <v>527</v>
      </c>
      <c r="K116" s="2103"/>
      <c r="L116" s="2132"/>
      <c r="M116" s="2154" t="s">
        <v>528</v>
      </c>
      <c r="N116" s="2154"/>
      <c r="O116" s="1382"/>
      <c r="P116" s="2103" t="s">
        <v>529</v>
      </c>
      <c r="Q116" s="2103"/>
      <c r="R116" s="1382"/>
      <c r="S116" s="2103" t="s">
        <v>530</v>
      </c>
      <c r="T116" s="2103"/>
    </row>
    <row r="117" spans="1:20" ht="14.1">
      <c r="A117" s="1382"/>
      <c r="B117" s="1382"/>
      <c r="C117" s="1382"/>
      <c r="D117" s="2105"/>
      <c r="E117" s="2105"/>
      <c r="F117" s="2105"/>
      <c r="G117" s="2103" t="s">
        <v>531</v>
      </c>
      <c r="H117" s="2103"/>
      <c r="I117" s="1382"/>
      <c r="J117" s="2103"/>
      <c r="K117" s="2103"/>
      <c r="L117" s="2132"/>
      <c r="M117" s="2154"/>
      <c r="N117" s="2154"/>
      <c r="O117" s="1382"/>
      <c r="P117" s="2103"/>
      <c r="Q117" s="2103"/>
      <c r="R117" s="1382"/>
      <c r="S117" s="2103"/>
      <c r="T117" s="2103"/>
    </row>
    <row r="118" spans="1:20">
      <c r="A118" s="1382"/>
      <c r="B118" s="2103" t="s">
        <v>532</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533</v>
      </c>
      <c r="C119" s="1382"/>
      <c r="D119" s="1382"/>
      <c r="E119" s="1382"/>
      <c r="F119" s="1382"/>
      <c r="G119" s="2132">
        <f>'Part III-A-Uses of Funds'!G9</f>
        <v>6500</v>
      </c>
      <c r="H119" s="2132"/>
      <c r="I119" s="1382"/>
      <c r="J119" s="2132">
        <f>'Part III-A-Uses of Funds'!J9</f>
        <v>6500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534</v>
      </c>
      <c r="C120" s="1382"/>
      <c r="D120" s="1382"/>
      <c r="E120" s="1382"/>
      <c r="F120" s="1382"/>
      <c r="G120" s="2132">
        <f>'Part III-A-Uses of Funds'!G10</f>
        <v>8500</v>
      </c>
      <c r="H120" s="2132"/>
      <c r="I120" s="1382"/>
      <c r="J120" s="2132">
        <f>'Part III-A-Uses of Funds'!J10</f>
        <v>8500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535</v>
      </c>
      <c r="C121" s="1382"/>
      <c r="D121" s="1382"/>
      <c r="E121" s="1382"/>
      <c r="F121" s="1382"/>
      <c r="G121" s="2132">
        <f>'Part III-A-Uses of Funds'!G11</f>
        <v>28500</v>
      </c>
      <c r="H121" s="2132"/>
      <c r="I121" s="1382"/>
      <c r="J121" s="2132">
        <f>'Part III-A-Uses of Funds'!J11</f>
        <v>28500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536</v>
      </c>
      <c r="C122" s="1382"/>
      <c r="D122" s="1382"/>
      <c r="E122" s="1382"/>
      <c r="F122" s="1382"/>
      <c r="G122" s="2132">
        <f>'Part III-A-Uses of Funds'!G12</f>
        <v>18000</v>
      </c>
      <c r="H122" s="2132"/>
      <c r="I122" s="1382"/>
      <c r="J122" s="2132">
        <f>'Part III-A-Uses of Funds'!J12</f>
        <v>18000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537</v>
      </c>
      <c r="C123" s="1382"/>
      <c r="D123" s="1382"/>
      <c r="E123" s="1382"/>
      <c r="F123" s="1382"/>
      <c r="G123" s="2132">
        <f>'Part III-A-Uses of Funds'!G13</f>
        <v>12000</v>
      </c>
      <c r="H123" s="2132"/>
      <c r="I123" s="1382"/>
      <c r="J123" s="2132">
        <f>'Part III-A-Uses of Funds'!J13</f>
        <v>12000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538</v>
      </c>
      <c r="C124" s="1382"/>
      <c r="D124" s="1382"/>
      <c r="E124" s="1382"/>
      <c r="F124" s="1382"/>
      <c r="G124" s="2132">
        <f>'Part III-A-Uses of Funds'!G14</f>
        <v>500</v>
      </c>
      <c r="H124" s="2132"/>
      <c r="I124" s="1382"/>
      <c r="J124" s="2132">
        <f>'Part III-A-Uses of Funds'!J14</f>
        <v>500</v>
      </c>
      <c r="K124" s="2132"/>
      <c r="L124" s="2121"/>
      <c r="M124" s="2132">
        <f>'Part III-A-Uses of Funds'!M14</f>
        <v>0</v>
      </c>
      <c r="N124" s="2132"/>
      <c r="O124" s="1382"/>
      <c r="P124" s="2132">
        <f>'Part III-A-Uses of Funds'!P14</f>
        <v>0</v>
      </c>
      <c r="Q124" s="2132"/>
      <c r="R124" s="1382"/>
      <c r="S124" s="2132">
        <f>'Part III-A-Uses of Funds'!S14</f>
        <v>0</v>
      </c>
      <c r="T124" s="2132"/>
    </row>
    <row r="125" spans="1:20" ht="15.75" customHeight="1">
      <c r="A125" s="2155" t="str">
        <f>IF(AND(G125&gt;0,OR(C125="",C125="&lt;Enter detailed description here; use Comments section if needed&gt;")),"X","")</f>
        <v/>
      </c>
      <c r="B125" s="2109" t="s">
        <v>539</v>
      </c>
      <c r="C125" s="2077" t="str">
        <f>'Part III-A-Uses of Funds'!C15</f>
        <v>Arch, Environ, &amp; Cost Review</v>
      </c>
      <c r="D125" s="2077"/>
      <c r="E125" s="2077"/>
      <c r="F125" s="2077"/>
      <c r="G125" s="2132">
        <f>'Part III-A-Uses of Funds'!G15</f>
        <v>12000</v>
      </c>
      <c r="H125" s="2132"/>
      <c r="I125" s="1382"/>
      <c r="J125" s="2132">
        <f>'Part III-A-Uses of Funds'!J15</f>
        <v>12000</v>
      </c>
      <c r="K125" s="2132"/>
      <c r="L125" s="2121"/>
      <c r="M125" s="2132">
        <f>'Part III-A-Uses of Funds'!M15</f>
        <v>0</v>
      </c>
      <c r="N125" s="2132"/>
      <c r="O125" s="1382"/>
      <c r="P125" s="2132">
        <f>'Part III-A-Uses of Funds'!P15</f>
        <v>0</v>
      </c>
      <c r="Q125" s="2132"/>
      <c r="R125" s="1382"/>
      <c r="S125" s="2132">
        <f>'Part III-A-Uses of Funds'!S15</f>
        <v>0</v>
      </c>
      <c r="T125" s="2132"/>
    </row>
    <row r="126" spans="1:20" ht="15.75" customHeight="1">
      <c r="A126" s="2155" t="str">
        <f>IF(AND(G126&gt;0,OR(C126="",C126="&lt;Enter detailed description here; use Comments section if needed&gt;")),"X","")</f>
        <v/>
      </c>
      <c r="B126" s="2109" t="s">
        <v>542</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545</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547</v>
      </c>
      <c r="G128" s="2132">
        <f>SUM(G119:G127)</f>
        <v>86000</v>
      </c>
      <c r="H128" s="2132"/>
      <c r="I128" s="1382"/>
      <c r="J128" s="2132">
        <f>SUM(J119:J127)</f>
        <v>86000</v>
      </c>
      <c r="K128" s="2132"/>
      <c r="L128" s="2121"/>
      <c r="M128" s="2132">
        <f>SUM(M119:M127)</f>
        <v>0</v>
      </c>
      <c r="N128" s="2132"/>
      <c r="O128" s="1382"/>
      <c r="P128" s="2132">
        <f>SUM(P119:P127)</f>
        <v>0</v>
      </c>
      <c r="Q128" s="2132"/>
      <c r="R128" s="1382"/>
      <c r="S128" s="2132">
        <f>SUM(S119:S127)</f>
        <v>0</v>
      </c>
      <c r="T128" s="2132"/>
    </row>
    <row r="129" spans="1:20">
      <c r="A129" s="1382"/>
      <c r="B129" s="2103" t="s">
        <v>549</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550</v>
      </c>
      <c r="C130" s="1382"/>
      <c r="D130" s="1382"/>
      <c r="E130" s="2158" t="s">
        <v>551</v>
      </c>
      <c r="F130" s="2159">
        <f>IF('Part I-Project Identification'!$O$28="","",G130/'Part I-Project Identification'!$O$28)</f>
        <v>199652.77777777778</v>
      </c>
      <c r="G130" s="2132">
        <f>'Part III-A-Uses of Funds'!G20</f>
        <v>2300000</v>
      </c>
      <c r="H130" s="2132"/>
      <c r="I130" s="1382"/>
      <c r="J130" s="2121"/>
      <c r="K130" s="2132"/>
      <c r="L130" s="2121"/>
      <c r="M130" s="2121"/>
      <c r="N130" s="2132"/>
      <c r="O130" s="1382"/>
      <c r="P130" s="2121"/>
      <c r="Q130" s="2132"/>
      <c r="R130" s="1382"/>
      <c r="S130" s="2132">
        <f>'Part III-A-Uses of Funds'!S20</f>
        <v>2300000</v>
      </c>
      <c r="T130" s="2132"/>
    </row>
    <row r="131" spans="1:20">
      <c r="A131" s="1382"/>
      <c r="B131" s="1382" t="s">
        <v>552</v>
      </c>
      <c r="C131" s="1382"/>
      <c r="D131" s="1382"/>
      <c r="E131" s="1382"/>
      <c r="F131" s="1382"/>
      <c r="G131" s="2132">
        <f>'Part III-A-Uses of Funds'!G21</f>
        <v>50000</v>
      </c>
      <c r="H131" s="2132"/>
      <c r="I131" s="1382"/>
      <c r="J131" s="2121"/>
      <c r="K131" s="2132"/>
      <c r="L131" s="2121"/>
      <c r="M131" s="2121"/>
      <c r="N131" s="2132"/>
      <c r="O131" s="1382"/>
      <c r="P131" s="2121"/>
      <c r="Q131" s="2132"/>
      <c r="R131" s="1382"/>
      <c r="S131" s="2132">
        <f>'Part III-A-Uses of Funds'!S21</f>
        <v>50000</v>
      </c>
      <c r="T131" s="2132"/>
    </row>
    <row r="132" spans="1:20">
      <c r="A132" s="1382"/>
      <c r="B132" s="1382" t="s">
        <v>553</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554</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547</v>
      </c>
      <c r="G134" s="2132">
        <f>SUM(G130:G133)</f>
        <v>2350000</v>
      </c>
      <c r="H134" s="2132"/>
      <c r="I134" s="1382"/>
      <c r="J134" s="2121"/>
      <c r="K134" s="2132"/>
      <c r="L134" s="2121"/>
      <c r="M134" s="2132">
        <f>SUM(M132:M133)</f>
        <v>0</v>
      </c>
      <c r="N134" s="2132"/>
      <c r="O134" s="1382"/>
      <c r="P134" s="2121"/>
      <c r="Q134" s="2132"/>
      <c r="R134" s="1382"/>
      <c r="S134" s="2132">
        <f>SUM(S130:S133)</f>
        <v>2350000</v>
      </c>
      <c r="T134" s="2132"/>
    </row>
    <row r="135" spans="1:20">
      <c r="A135" s="1382"/>
      <c r="B135" s="2103" t="s">
        <v>556</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557</v>
      </c>
      <c r="C136" s="1382"/>
      <c r="D136" s="1382"/>
      <c r="E136" s="2158" t="s">
        <v>551</v>
      </c>
      <c r="F136" s="2159">
        <f>IF('Part I-Project Identification'!$O$28="","",G136/'Part I-Project Identification'!$O$28)</f>
        <v>123697.91666666667</v>
      </c>
      <c r="G136" s="2132">
        <f>'Part III-A-Uses of Funds'!G26</f>
        <v>1425000</v>
      </c>
      <c r="H136" s="2132"/>
      <c r="I136" s="1382"/>
      <c r="J136" s="2132">
        <f>'Part III-A-Uses of Funds'!J26</f>
        <v>1400000</v>
      </c>
      <c r="K136" s="2132"/>
      <c r="L136" s="2121"/>
      <c r="M136" s="2132">
        <f>'Part III-A-Uses of Funds'!M26</f>
        <v>0</v>
      </c>
      <c r="N136" s="2132"/>
      <c r="O136" s="1382"/>
      <c r="P136" s="2132">
        <f>'Part III-A-Uses of Funds'!P26</f>
        <v>0</v>
      </c>
      <c r="Q136" s="2132"/>
      <c r="R136" s="1382"/>
      <c r="S136" s="2132">
        <f>'Part III-A-Uses of Funds'!S26</f>
        <v>25000</v>
      </c>
      <c r="T136" s="2132"/>
    </row>
    <row r="137" spans="1:20">
      <c r="A137" s="1382"/>
      <c r="B137" s="1382" t="s">
        <v>558</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547</v>
      </c>
      <c r="G138" s="2132">
        <f>SUM(G136:G137)</f>
        <v>1425000</v>
      </c>
      <c r="H138" s="2132"/>
      <c r="I138" s="1382"/>
      <c r="J138" s="2132">
        <f>SUM(J136:J137)</f>
        <v>1400000</v>
      </c>
      <c r="K138" s="2132"/>
      <c r="L138" s="2121"/>
      <c r="M138" s="2132">
        <f>M136</f>
        <v>0</v>
      </c>
      <c r="N138" s="2132"/>
      <c r="O138" s="1382"/>
      <c r="P138" s="2132">
        <f>P136</f>
        <v>0</v>
      </c>
      <c r="Q138" s="2132"/>
      <c r="R138" s="1382"/>
      <c r="S138" s="2132">
        <f>SUM(S136:S137)</f>
        <v>25000</v>
      </c>
      <c r="T138" s="2132"/>
    </row>
    <row r="139" spans="1:20">
      <c r="A139" s="1382"/>
      <c r="B139" s="2103" t="s">
        <v>560</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561</v>
      </c>
      <c r="C140" s="1382"/>
      <c r="D140" s="1382"/>
      <c r="E140" s="1382"/>
      <c r="F140" s="1382"/>
      <c r="G140" s="2132">
        <f>'Part III-A-Uses of Funds'!G30</f>
        <v>7716375</v>
      </c>
      <c r="H140" s="2132"/>
      <c r="I140" s="1382"/>
      <c r="J140" s="2132">
        <f>'Part III-A-Uses of Funds'!J30</f>
        <v>7716375</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562</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563</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564</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565</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566</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547</v>
      </c>
      <c r="G146" s="2132">
        <f>SUM(G140:G145)</f>
        <v>7716375</v>
      </c>
      <c r="H146" s="2132"/>
      <c r="I146" s="1382"/>
      <c r="J146" s="2132">
        <f>SUM(J140:J145)</f>
        <v>7716375</v>
      </c>
      <c r="K146" s="2132"/>
      <c r="L146" s="2121"/>
      <c r="M146" s="2132">
        <f>SUM(M140:M145)</f>
        <v>0</v>
      </c>
      <c r="N146" s="2132"/>
      <c r="O146" s="1382"/>
      <c r="P146" s="2132">
        <f>SUM(P140:P145)</f>
        <v>0</v>
      </c>
      <c r="Q146" s="2132"/>
      <c r="R146" s="1382"/>
      <c r="S146" s="2132">
        <f>SUM(S140:S145)</f>
        <v>0</v>
      </c>
      <c r="T146" s="2132"/>
    </row>
    <row r="147" spans="1:20">
      <c r="A147" s="1382"/>
      <c r="B147" s="2103" t="s">
        <v>568</v>
      </c>
      <c r="C147" s="1382"/>
      <c r="D147" s="2078" t="s">
        <v>569</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c r="A148" s="1382"/>
      <c r="B148" s="1382" t="s">
        <v>570</v>
      </c>
      <c r="C148" s="1382"/>
      <c r="D148" s="2165">
        <f>'DCA Underwriting Assumptions'!$R$52</f>
        <v>0.06</v>
      </c>
      <c r="E148" s="2166">
        <f>ROUNDDOWN(D148*(G138+G146),0)</f>
        <v>548482</v>
      </c>
      <c r="F148" s="2165">
        <f>IF(($G$28+$G$36)=0,0,G148/($G$28+$G$36))</f>
        <v>0</v>
      </c>
      <c r="G148" s="2132">
        <f>'Part III-A-Uses of Funds'!G38</f>
        <v>548482</v>
      </c>
      <c r="H148" s="2132"/>
      <c r="I148" s="272"/>
      <c r="J148" s="2132">
        <f>'Part III-A-Uses of Funds'!J38</f>
        <v>548482</v>
      </c>
      <c r="K148" s="2132"/>
      <c r="L148" s="2121"/>
      <c r="M148" s="2132">
        <f>'Part III-A-Uses of Funds'!M38</f>
        <v>0</v>
      </c>
      <c r="N148" s="2132"/>
      <c r="O148" s="1382"/>
      <c r="P148" s="2132">
        <f>'Part III-A-Uses of Funds'!P38</f>
        <v>0</v>
      </c>
      <c r="Q148" s="2132"/>
      <c r="R148" s="1382"/>
      <c r="S148" s="2132">
        <f>'Part III-A-Uses of Funds'!S38</f>
        <v>0</v>
      </c>
      <c r="T148" s="2132"/>
    </row>
    <row r="149" spans="1:20">
      <c r="A149" s="1382"/>
      <c r="B149" s="1382" t="s">
        <v>571</v>
      </c>
      <c r="C149" s="1382"/>
      <c r="D149" s="2165">
        <f>'DCA Underwriting Assumptions'!$R$53</f>
        <v>0.02</v>
      </c>
      <c r="E149" s="2166">
        <f>ROUNDDOWN(D149*(G138+G146),0)</f>
        <v>182827</v>
      </c>
      <c r="F149" s="2165">
        <f>IF(($G$28+$G$36)=0,0,G149/($G$28+$G$36))</f>
        <v>0</v>
      </c>
      <c r="G149" s="2132">
        <f>'Part III-A-Uses of Funds'!G39</f>
        <v>182827</v>
      </c>
      <c r="H149" s="2132"/>
      <c r="I149" s="272"/>
      <c r="J149" s="2132">
        <f>'Part III-A-Uses of Funds'!J39</f>
        <v>182827</v>
      </c>
      <c r="K149" s="2132"/>
      <c r="L149" s="2121"/>
      <c r="M149" s="2132">
        <f>'Part III-A-Uses of Funds'!M39</f>
        <v>0</v>
      </c>
      <c r="N149" s="2132"/>
      <c r="O149" s="1382"/>
      <c r="P149" s="2132">
        <f>'Part III-A-Uses of Funds'!P39</f>
        <v>0</v>
      </c>
      <c r="Q149" s="2132"/>
      <c r="R149" s="1382"/>
      <c r="S149" s="2132">
        <f>'Part III-A-Uses of Funds'!S39</f>
        <v>0</v>
      </c>
      <c r="T149" s="2132"/>
    </row>
    <row r="150" spans="1:20">
      <c r="A150" s="1382"/>
      <c r="B150" s="1382" t="s">
        <v>572</v>
      </c>
      <c r="C150" s="1382"/>
      <c r="D150" s="2165">
        <f>'DCA Underwriting Assumptions'!$R$54</f>
        <v>0.06</v>
      </c>
      <c r="E150" s="2166">
        <f>ROUNDDOWN(D150*(G138+G146),0)</f>
        <v>548482</v>
      </c>
      <c r="F150" s="2165">
        <f>IF(($G$28+$G$36)=0,0,G150/($G$28+$G$36))</f>
        <v>0</v>
      </c>
      <c r="G150" s="2132">
        <f>'Part III-A-Uses of Funds'!G40</f>
        <v>548482</v>
      </c>
      <c r="H150" s="2132"/>
      <c r="I150" s="272"/>
      <c r="J150" s="2132">
        <f>'Part III-A-Uses of Funds'!J40</f>
        <v>548482</v>
      </c>
      <c r="K150" s="2132"/>
      <c r="L150" s="2121"/>
      <c r="M150" s="2132">
        <f>'Part III-A-Uses of Funds'!M40</f>
        <v>0</v>
      </c>
      <c r="N150" s="2132"/>
      <c r="O150" s="1382"/>
      <c r="P150" s="2132">
        <f>'Part III-A-Uses of Funds'!P40</f>
        <v>0</v>
      </c>
      <c r="Q150" s="2132"/>
      <c r="R150" s="1382"/>
      <c r="S150" s="2132">
        <f>'Part III-A-Uses of Funds'!S40</f>
        <v>0</v>
      </c>
      <c r="T150" s="2132"/>
    </row>
    <row r="151" spans="1:20">
      <c r="A151" s="1382"/>
      <c r="B151" s="2109" t="s">
        <v>573</v>
      </c>
      <c r="C151" s="1382"/>
      <c r="D151" s="2163">
        <f>SUM(D148:D150)</f>
        <v>0.14000000000000001</v>
      </c>
      <c r="E151" s="2167">
        <f>SUM(E148:E150)</f>
        <v>1279791</v>
      </c>
      <c r="F151" s="2156" t="s">
        <v>547</v>
      </c>
      <c r="G151" s="2132">
        <f>SUM(G148:G150)</f>
        <v>1279791</v>
      </c>
      <c r="H151" s="2132"/>
      <c r="I151" s="1382"/>
      <c r="J151" s="2132">
        <f>SUM(J148:J150)</f>
        <v>1279791</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575</v>
      </c>
      <c r="D153" s="1382"/>
      <c r="E153" s="2104"/>
      <c r="F153" s="2104"/>
      <c r="G153" s="2169">
        <f>G138+G146+G151</f>
        <v>10421166</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2226</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578</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2227</v>
      </c>
      <c r="C158" s="2171"/>
      <c r="D158" s="1382"/>
      <c r="E158" s="2103" t="s">
        <v>581</v>
      </c>
      <c r="F158" s="2172">
        <f>C159/'Part V-Revenues &amp; Expenses'!$P$65</f>
        <v>173686.1</v>
      </c>
      <c r="G158" s="2173" t="s">
        <v>2228</v>
      </c>
      <c r="H158" s="1382"/>
      <c r="I158" s="1382"/>
      <c r="J158" s="2174">
        <f>C159/'Part V-Revenues &amp; Expenses'!$P$67</f>
        <v>173686.1</v>
      </c>
      <c r="K158" s="2174"/>
      <c r="L158" s="1382"/>
      <c r="M158" s="2175" t="s">
        <v>583</v>
      </c>
      <c r="N158" s="2175"/>
      <c r="O158" s="1382"/>
      <c r="P158" s="2174">
        <f>C159/'Part V-Revenues &amp; Expenses'!$K$179</f>
        <v>187.23236134317901</v>
      </c>
      <c r="Q158" s="2174"/>
      <c r="R158" s="1382"/>
      <c r="S158" s="2176" t="s">
        <v>584</v>
      </c>
      <c r="T158" s="2176"/>
    </row>
    <row r="159" spans="1:20">
      <c r="A159" s="1382"/>
      <c r="B159" s="2177" t="s">
        <v>585</v>
      </c>
      <c r="C159" s="2178">
        <f>G138+G146+G151+G156</f>
        <v>10421166</v>
      </c>
      <c r="D159" s="1382"/>
      <c r="E159" s="2103"/>
      <c r="F159" s="2172">
        <f>C159/'Part V-Revenues &amp; Expenses'!$P$170</f>
        <v>194.2109618144207</v>
      </c>
      <c r="G159" s="2176" t="s">
        <v>2229</v>
      </c>
      <c r="H159" s="1382"/>
      <c r="I159" s="1382"/>
      <c r="J159" s="2174">
        <f>C159/'Part V-Revenues &amp; Expenses'!$P$172</f>
        <v>194.2109618144207</v>
      </c>
      <c r="K159" s="2174"/>
      <c r="L159" s="1382"/>
      <c r="M159" s="2176" t="s">
        <v>587</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2230</v>
      </c>
      <c r="C161" s="1382"/>
      <c r="D161" s="1382"/>
      <c r="E161" s="1382"/>
      <c r="F161" s="1382"/>
      <c r="G161" s="1382"/>
      <c r="H161" s="1382"/>
      <c r="I161" s="1382"/>
      <c r="J161" s="2103" t="s">
        <v>527</v>
      </c>
      <c r="K161" s="2103"/>
      <c r="L161" s="2132"/>
      <c r="M161" s="2154" t="s">
        <v>528</v>
      </c>
      <c r="N161" s="2154"/>
      <c r="O161" s="1382"/>
      <c r="P161" s="2103" t="s">
        <v>529</v>
      </c>
      <c r="Q161" s="2103"/>
      <c r="R161" s="1382"/>
      <c r="S161" s="2103" t="s">
        <v>530</v>
      </c>
      <c r="T161" s="2103"/>
    </row>
    <row r="162" spans="1:20">
      <c r="A162" s="1382"/>
      <c r="B162" s="1382"/>
      <c r="C162" s="1382"/>
      <c r="D162" s="1382"/>
      <c r="E162" s="1382"/>
      <c r="F162" s="1382"/>
      <c r="G162" s="2103" t="s">
        <v>531</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589</v>
      </c>
      <c r="C164" s="1382"/>
      <c r="D164" s="1382"/>
      <c r="E164" s="1382"/>
      <c r="F164" s="965" t="s">
        <v>590</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591</v>
      </c>
      <c r="C165" s="272"/>
      <c r="D165" s="2158" t="s">
        <v>592</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521058.30000000005</v>
      </c>
      <c r="F165" s="2140">
        <f>G165/C159</f>
        <v>4.9999971212434387E-2</v>
      </c>
      <c r="G165" s="2132">
        <f>'Part III-A-Uses of Funds'!G55</f>
        <v>521058</v>
      </c>
      <c r="H165" s="2132"/>
      <c r="I165" s="1382"/>
      <c r="J165" s="2132">
        <f>'Part III-A-Uses of Funds'!J55</f>
        <v>521058</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593</v>
      </c>
      <c r="C167" s="2171"/>
      <c r="D167" s="1382"/>
      <c r="E167" s="2103" t="s">
        <v>594</v>
      </c>
      <c r="F167" s="2172">
        <f>B168/'Part V-Revenues &amp; Expenses'!$P$65</f>
        <v>182370.4</v>
      </c>
      <c r="G167" s="2173" t="s">
        <v>2228</v>
      </c>
      <c r="H167" s="1382"/>
      <c r="I167" s="1382"/>
      <c r="J167" s="2174">
        <f>B168/'Part V-Revenues &amp; Expenses'!$P$67</f>
        <v>182370.4</v>
      </c>
      <c r="K167" s="2174"/>
      <c r="L167" s="1382"/>
      <c r="M167" s="2175" t="s">
        <v>583</v>
      </c>
      <c r="N167" s="2175"/>
      <c r="O167" s="1382"/>
      <c r="P167" s="2174">
        <f>B168/'Part V-Revenues &amp; Expenses'!$K$179</f>
        <v>196.59397402037408</v>
      </c>
      <c r="Q167" s="2174"/>
      <c r="R167" s="1382"/>
      <c r="S167" s="2176" t="s">
        <v>584</v>
      </c>
      <c r="T167" s="2176"/>
    </row>
    <row r="168" spans="1:20">
      <c r="A168" s="1382"/>
      <c r="B168" s="2178">
        <f>C159+G165</f>
        <v>10942224</v>
      </c>
      <c r="C168" s="2178"/>
      <c r="D168" s="1382"/>
      <c r="E168" s="2103"/>
      <c r="F168" s="2172">
        <f>B168/'Part V-Revenues &amp; Expenses'!$P$170</f>
        <v>203.92150431428092</v>
      </c>
      <c r="G168" s="2176" t="s">
        <v>2229</v>
      </c>
      <c r="H168" s="1382"/>
      <c r="I168" s="1382"/>
      <c r="J168" s="2174">
        <f>B168/'Part V-Revenues &amp; Expenses'!$P$172</f>
        <v>203.92150431428092</v>
      </c>
      <c r="K168" s="2174"/>
      <c r="L168" s="1382"/>
      <c r="M168" s="2176" t="s">
        <v>587</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595</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596</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597</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598</v>
      </c>
      <c r="C173" s="1382"/>
      <c r="D173" s="1382"/>
      <c r="E173" s="1382"/>
      <c r="F173" s="1382"/>
      <c r="G173" s="2132">
        <f>'Part III-A-Uses of Funds'!G63</f>
        <v>143000</v>
      </c>
      <c r="H173" s="2132"/>
      <c r="I173" s="1382"/>
      <c r="J173" s="2132">
        <f>'Part III-A-Uses of Funds'!J63</f>
        <v>143000</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599</v>
      </c>
      <c r="C174" s="1382"/>
      <c r="D174" s="1382"/>
      <c r="E174" s="1382"/>
      <c r="F174" s="1382"/>
      <c r="G174" s="2132">
        <f>'Part III-A-Uses of Funds'!G64</f>
        <v>1165173</v>
      </c>
      <c r="H174" s="2132"/>
      <c r="I174" s="1382"/>
      <c r="J174" s="2132">
        <f>'Part III-A-Uses of Funds'!J64</f>
        <v>770225</v>
      </c>
      <c r="K174" s="2132"/>
      <c r="L174" s="2121"/>
      <c r="M174" s="2132">
        <f>'Part III-A-Uses of Funds'!M64</f>
        <v>0</v>
      </c>
      <c r="N174" s="2132"/>
      <c r="O174" s="1382"/>
      <c r="P174" s="2132">
        <f>'Part III-A-Uses of Funds'!P64</f>
        <v>0</v>
      </c>
      <c r="Q174" s="2132"/>
      <c r="R174" s="1382"/>
      <c r="S174" s="2132">
        <f>'Part III-A-Uses of Funds'!S64</f>
        <v>394948</v>
      </c>
      <c r="T174" s="2132"/>
    </row>
    <row r="175" spans="1:20">
      <c r="A175" s="1382"/>
      <c r="B175" s="1382" t="s">
        <v>600</v>
      </c>
      <c r="C175" s="1382"/>
      <c r="D175" s="1382"/>
      <c r="E175" s="1382"/>
      <c r="F175" s="1382"/>
      <c r="G175" s="2132">
        <f>'Part III-A-Uses of Funds'!G65</f>
        <v>35000</v>
      </c>
      <c r="H175" s="2132"/>
      <c r="I175" s="1382"/>
      <c r="J175" s="2132">
        <f>'Part III-A-Uses of Funds'!J65</f>
        <v>35000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602</v>
      </c>
      <c r="C176" s="1382"/>
      <c r="D176" s="1382"/>
      <c r="E176" s="1382"/>
      <c r="F176" s="1382"/>
      <c r="G176" s="2132">
        <f>'Part III-A-Uses of Funds'!G66</f>
        <v>20000</v>
      </c>
      <c r="H176" s="2132"/>
      <c r="I176" s="1382"/>
      <c r="J176" s="2132">
        <f>'Part III-A-Uses of Funds'!J66</f>
        <v>20000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604</v>
      </c>
      <c r="C177" s="1382"/>
      <c r="D177" s="1382"/>
      <c r="E177" s="1382"/>
      <c r="F177" s="1382"/>
      <c r="G177" s="2132">
        <f>'Part III-A-Uses of Funds'!G67</f>
        <v>13542</v>
      </c>
      <c r="H177" s="2132"/>
      <c r="I177" s="1382"/>
      <c r="J177" s="2132">
        <f>'Part III-A-Uses of Funds'!J67</f>
        <v>13542</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606</v>
      </c>
      <c r="C178" s="1382"/>
      <c r="D178" s="1382"/>
      <c r="E178" s="1382"/>
      <c r="F178" s="1382"/>
      <c r="G178" s="2132">
        <f>'Part III-A-Uses of Funds'!G68</f>
        <v>94990</v>
      </c>
      <c r="H178" s="2132"/>
      <c r="I178" s="1382"/>
      <c r="J178" s="2132">
        <f>'Part III-A-Uses of Funds'!J68</f>
        <v>94990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607</v>
      </c>
      <c r="C179" s="1382"/>
      <c r="D179" s="1382"/>
      <c r="E179" s="1382"/>
      <c r="F179" s="1382"/>
      <c r="G179" s="2132">
        <f>'Part III-A-Uses of Funds'!G69</f>
        <v>15000</v>
      </c>
      <c r="H179" s="2132"/>
      <c r="I179" s="1382"/>
      <c r="J179" s="2132">
        <f>'Part III-A-Uses of Funds'!J69</f>
        <v>15000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608</v>
      </c>
      <c r="C180" s="1382"/>
      <c r="D180" s="2182"/>
      <c r="E180" s="2182"/>
      <c r="F180" s="2183"/>
      <c r="G180" s="2132">
        <f>'Part III-A-Uses of Funds'!G70</f>
        <v>67738</v>
      </c>
      <c r="H180" s="2132"/>
      <c r="I180" s="272"/>
      <c r="J180" s="2132">
        <f>'Part III-A-Uses of Funds'!J70</f>
        <v>67738</v>
      </c>
      <c r="K180" s="2132"/>
      <c r="L180" s="2121"/>
      <c r="M180" s="2132">
        <f>'Part III-A-Uses of Funds'!M70</f>
        <v>0</v>
      </c>
      <c r="N180" s="2132"/>
      <c r="O180" s="1382"/>
      <c r="P180" s="2132">
        <f>'Part III-A-Uses of Funds'!P70</f>
        <v>0</v>
      </c>
      <c r="Q180" s="2132"/>
      <c r="R180" s="1382"/>
      <c r="S180" s="2132">
        <f>'Part III-A-Uses of Funds'!S70</f>
        <v>0</v>
      </c>
      <c r="T180" s="2132"/>
    </row>
    <row r="181" spans="1:20" ht="15.75" customHeight="1">
      <c r="A181" s="2155" t="str">
        <f>IF(AND(G181&gt;0,OR(C181="",C181="&lt;Enter detailed description here; use Comments section if needed&gt;")),"X","")</f>
        <v/>
      </c>
      <c r="B181" s="2109" t="s">
        <v>609</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610</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547</v>
      </c>
      <c r="G183" s="2132">
        <f>SUM(G171:G182)</f>
        <v>1554443</v>
      </c>
      <c r="H183" s="2132"/>
      <c r="I183" s="1382"/>
      <c r="J183" s="2132">
        <f>SUM(J171:J182)</f>
        <v>1159495</v>
      </c>
      <c r="K183" s="2132"/>
      <c r="L183" s="2121"/>
      <c r="M183" s="2132">
        <f>SUM(M171:M182)</f>
        <v>0</v>
      </c>
      <c r="N183" s="2132"/>
      <c r="O183" s="1382"/>
      <c r="P183" s="2132">
        <f>SUM(P171:P182)</f>
        <v>0</v>
      </c>
      <c r="Q183" s="2132"/>
      <c r="R183" s="1382"/>
      <c r="S183" s="2132">
        <f>SUM(S171:S182)</f>
        <v>394948</v>
      </c>
      <c r="T183" s="2132"/>
    </row>
    <row r="184" spans="1:20">
      <c r="A184" s="1382"/>
      <c r="B184" s="2103" t="s">
        <v>611</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612</v>
      </c>
      <c r="C185" s="1382"/>
      <c r="D185" s="1382"/>
      <c r="E185" s="1382"/>
      <c r="F185" s="1382"/>
      <c r="G185" s="2132">
        <f>'Part III-A-Uses of Funds'!G75</f>
        <v>160000</v>
      </c>
      <c r="H185" s="2132"/>
      <c r="I185" s="1382"/>
      <c r="J185" s="2132">
        <f>'Part III-A-Uses of Funds'!J75</f>
        <v>160000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613</v>
      </c>
      <c r="C186" s="1382"/>
      <c r="D186" s="1382"/>
      <c r="E186" s="1382"/>
      <c r="F186" s="1382"/>
      <c r="G186" s="2132">
        <f>'Part III-A-Uses of Funds'!G76</f>
        <v>20000</v>
      </c>
      <c r="H186" s="2132"/>
      <c r="I186" s="1382"/>
      <c r="J186" s="2132">
        <f>'Part III-A-Uses of Funds'!J76</f>
        <v>20000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614</v>
      </c>
      <c r="C187" s="1382"/>
      <c r="D187" s="2114"/>
      <c r="E187" s="2184"/>
      <c r="F187" s="2103"/>
      <c r="G187" s="2132">
        <f>'Part III-A-Uses of Funds'!G77</f>
        <v>30000</v>
      </c>
      <c r="H187" s="2132"/>
      <c r="I187" s="1382"/>
      <c r="J187" s="2132">
        <f>'Part III-A-Uses of Funds'!J77</f>
        <v>30000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615</v>
      </c>
      <c r="C188" s="1382"/>
      <c r="D188" s="1382"/>
      <c r="E188" s="1382"/>
      <c r="F188" s="1382"/>
      <c r="G188" s="2132">
        <f>'Part III-A-Uses of Funds'!G78</f>
        <v>0</v>
      </c>
      <c r="H188" s="2132"/>
      <c r="I188" s="1382"/>
      <c r="J188" s="2132">
        <f>'Part III-A-Uses of Funds'!J78</f>
        <v>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616</v>
      </c>
      <c r="C189" s="1382"/>
      <c r="D189" s="1382"/>
      <c r="E189" s="1382"/>
      <c r="F189" s="1382"/>
      <c r="G189" s="2132">
        <f>'Part III-A-Uses of Funds'!G79</f>
        <v>7500</v>
      </c>
      <c r="H189" s="2132"/>
      <c r="I189" s="1382"/>
      <c r="J189" s="2132">
        <f>'Part III-A-Uses of Funds'!J79</f>
        <v>7500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618</v>
      </c>
      <c r="C190" s="1382"/>
      <c r="D190" s="1382"/>
      <c r="E190" s="1382"/>
      <c r="F190" s="1382"/>
      <c r="G190" s="2132">
        <f>'Part III-A-Uses of Funds'!G80</f>
        <v>50000</v>
      </c>
      <c r="H190" s="2132"/>
      <c r="I190" s="1382"/>
      <c r="J190" s="2132">
        <f>'Part III-A-Uses of Funds'!J80</f>
        <v>50000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620</v>
      </c>
      <c r="C191" s="1382"/>
      <c r="D191" s="1382"/>
      <c r="E191" s="1382"/>
      <c r="F191" s="1382"/>
      <c r="G191" s="2132">
        <f>'Part III-A-Uses of Funds'!G81</f>
        <v>75000</v>
      </c>
      <c r="H191" s="2132"/>
      <c r="I191" s="1382"/>
      <c r="J191" s="2132">
        <f>'Part III-A-Uses of Funds'!J81</f>
        <v>75000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621</v>
      </c>
      <c r="C192" s="1382"/>
      <c r="D192" s="1382"/>
      <c r="E192" s="1382"/>
      <c r="F192" s="1382"/>
      <c r="G192" s="2132">
        <f>'Part III-A-Uses of Funds'!G82</f>
        <v>81500</v>
      </c>
      <c r="H192" s="2132"/>
      <c r="I192" s="1382"/>
      <c r="J192" s="2132">
        <f>'Part III-A-Uses of Funds'!J82</f>
        <v>68495</v>
      </c>
      <c r="K192" s="2132"/>
      <c r="L192" s="2121"/>
      <c r="M192" s="2132">
        <f>'Part III-A-Uses of Funds'!M82</f>
        <v>0</v>
      </c>
      <c r="N192" s="2132"/>
      <c r="O192" s="1382"/>
      <c r="P192" s="2132">
        <f>'Part III-A-Uses of Funds'!P82</f>
        <v>0</v>
      </c>
      <c r="Q192" s="2132"/>
      <c r="R192" s="1382"/>
      <c r="S192" s="2132">
        <f>'Part III-A-Uses of Funds'!S82</f>
        <v>13005</v>
      </c>
      <c r="T192" s="2132"/>
    </row>
    <row r="193" spans="1:20">
      <c r="A193" s="1382"/>
      <c r="B193" s="1382" t="s">
        <v>622</v>
      </c>
      <c r="C193" s="1382"/>
      <c r="D193" s="1382"/>
      <c r="E193" s="1382"/>
      <c r="F193" s="1382"/>
      <c r="G193" s="2132">
        <f>'Part III-A-Uses of Funds'!G83</f>
        <v>20000</v>
      </c>
      <c r="H193" s="2132"/>
      <c r="I193" s="1382"/>
      <c r="J193" s="2132">
        <f>'Part III-A-Uses of Funds'!J83</f>
        <v>16000</v>
      </c>
      <c r="K193" s="2132"/>
      <c r="L193" s="2121"/>
      <c r="M193" s="2132">
        <f>'Part III-A-Uses of Funds'!M83</f>
        <v>0</v>
      </c>
      <c r="N193" s="2132"/>
      <c r="O193" s="1382"/>
      <c r="P193" s="2132">
        <f>'Part III-A-Uses of Funds'!P83</f>
        <v>0</v>
      </c>
      <c r="Q193" s="2132"/>
      <c r="R193" s="1382"/>
      <c r="S193" s="2132">
        <f>'Part III-A-Uses of Funds'!S83</f>
        <v>4000</v>
      </c>
      <c r="T193" s="2132"/>
    </row>
    <row r="194" spans="1:20">
      <c r="A194" s="1382"/>
      <c r="B194" s="1382" t="s">
        <v>623</v>
      </c>
      <c r="C194" s="1382"/>
      <c r="D194" s="1382"/>
      <c r="E194" s="1382"/>
      <c r="F194" s="1382"/>
      <c r="G194" s="2132">
        <f>'Part III-A-Uses of Funds'!G84</f>
        <v>8500</v>
      </c>
      <c r="H194" s="2132"/>
      <c r="I194" s="1382"/>
      <c r="J194" s="2132">
        <f>'Part III-A-Uses of Funds'!J84</f>
        <v>8500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624</v>
      </c>
      <c r="C195" s="2077" t="str">
        <f>'Part III-A-Uses of Funds'!C85</f>
        <v>Landscape Architect</v>
      </c>
      <c r="D195" s="2077"/>
      <c r="E195" s="2077"/>
      <c r="F195" s="2077"/>
      <c r="G195" s="2132">
        <f>'Part III-A-Uses of Funds'!G85</f>
        <v>15000</v>
      </c>
      <c r="H195" s="2132"/>
      <c r="I195" s="1382"/>
      <c r="J195" s="2132">
        <f>'Part III-A-Uses of Funds'!J85</f>
        <v>15000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547</v>
      </c>
      <c r="G196" s="2132">
        <f>SUM(G185:G195)</f>
        <v>467500</v>
      </c>
      <c r="H196" s="2132"/>
      <c r="I196" s="1382"/>
      <c r="J196" s="2132">
        <f>SUM(J185:J195)</f>
        <v>450495</v>
      </c>
      <c r="K196" s="2132"/>
      <c r="L196" s="2121"/>
      <c r="M196" s="2132">
        <f>SUM(M185:M195)</f>
        <v>0</v>
      </c>
      <c r="N196" s="2132"/>
      <c r="O196" s="1382"/>
      <c r="P196" s="2132">
        <f>SUM(P185:P195)</f>
        <v>0</v>
      </c>
      <c r="Q196" s="2132"/>
      <c r="R196" s="1382"/>
      <c r="S196" s="2132">
        <f>SUM(S185:S195)</f>
        <v>17005</v>
      </c>
      <c r="T196" s="2132"/>
    </row>
    <row r="197" spans="1:20">
      <c r="A197" s="1382"/>
      <c r="B197" s="2103" t="s">
        <v>627</v>
      </c>
      <c r="C197" s="1382"/>
      <c r="D197" s="2185" t="s">
        <v>628</v>
      </c>
      <c r="E197" s="2186">
        <f>G202/'Part V-Revenues &amp; Expenses'!$P$67</f>
        <v>1341.25</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629</v>
      </c>
      <c r="C198" s="1382"/>
      <c r="D198" s="1382"/>
      <c r="E198" s="1382"/>
      <c r="F198" s="1382"/>
      <c r="G198" s="2132">
        <f>'Part III-A-Uses of Funds'!G88</f>
        <v>14435</v>
      </c>
      <c r="H198" s="2132"/>
      <c r="I198" s="1382"/>
      <c r="J198" s="2132">
        <f>'Part III-A-Uses of Funds'!J88</f>
        <v>14435</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630</v>
      </c>
      <c r="C199" s="1382"/>
      <c r="D199" s="1382"/>
      <c r="E199" s="1382"/>
      <c r="F199" s="1382"/>
      <c r="G199" s="2132">
        <f>'Part III-A-Uses of Funds'!G89</f>
        <v>500</v>
      </c>
      <c r="H199" s="2132"/>
      <c r="I199" s="1382"/>
      <c r="J199" s="2132">
        <f>'Part III-A-Uses of Funds'!J89</f>
        <v>500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631</v>
      </c>
      <c r="C200" s="1382"/>
      <c r="D200" s="2187" t="s">
        <v>632</v>
      </c>
      <c r="E200" s="2188" t="str">
        <f>'Part III-A-Uses of Funds'!E90</f>
        <v>No</v>
      </c>
      <c r="F200" s="1382"/>
      <c r="G200" s="2132">
        <f>'Part III-A-Uses of Funds'!G90</f>
        <v>0</v>
      </c>
      <c r="H200" s="2132"/>
      <c r="I200" s="272"/>
      <c r="J200" s="2132">
        <f>'Part III-A-Uses of Funds'!J90</f>
        <v>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633</v>
      </c>
      <c r="C201" s="1382"/>
      <c r="D201" s="2187" t="s">
        <v>632</v>
      </c>
      <c r="E201" s="2188" t="str">
        <f>'Part III-A-Uses of Funds'!E91</f>
        <v>No</v>
      </c>
      <c r="F201" s="1382"/>
      <c r="G201" s="2132">
        <f>'Part III-A-Uses of Funds'!G91</f>
        <v>65540</v>
      </c>
      <c r="H201" s="2132"/>
      <c r="I201" s="272"/>
      <c r="J201" s="2132">
        <f>'Part III-A-Uses of Funds'!J91</f>
        <v>65540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547</v>
      </c>
      <c r="G202" s="2132">
        <f>SUM(G198:G201)</f>
        <v>80475</v>
      </c>
      <c r="H202" s="2132"/>
      <c r="I202" s="1382"/>
      <c r="J202" s="2132">
        <f>SUM(J198:J201)</f>
        <v>80475</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2231</v>
      </c>
      <c r="C204" s="1382"/>
      <c r="D204" s="1382"/>
      <c r="E204" s="1382"/>
      <c r="F204" s="1382"/>
      <c r="G204" s="1382"/>
      <c r="H204" s="1382"/>
      <c r="I204" s="1382"/>
      <c r="J204" s="2103" t="s">
        <v>527</v>
      </c>
      <c r="K204" s="2103"/>
      <c r="L204" s="2132"/>
      <c r="M204" s="2154" t="s">
        <v>528</v>
      </c>
      <c r="N204" s="2154"/>
      <c r="O204" s="1382"/>
      <c r="P204" s="2103" t="s">
        <v>529</v>
      </c>
      <c r="Q204" s="2103"/>
      <c r="R204" s="1382"/>
      <c r="S204" s="2103" t="s">
        <v>530</v>
      </c>
      <c r="T204" s="2103"/>
    </row>
    <row r="205" spans="1:20">
      <c r="A205" s="1382"/>
      <c r="B205" s="1382"/>
      <c r="C205" s="1382"/>
      <c r="D205" s="1382"/>
      <c r="E205" s="1382"/>
      <c r="F205" s="1382"/>
      <c r="G205" s="2103" t="s">
        <v>531</v>
      </c>
      <c r="H205" s="2103"/>
      <c r="I205" s="1382"/>
      <c r="J205" s="2103"/>
      <c r="K205" s="2103"/>
      <c r="L205" s="2132"/>
      <c r="M205" s="2154"/>
      <c r="N205" s="2154"/>
      <c r="O205" s="1382"/>
      <c r="P205" s="2103"/>
      <c r="Q205" s="2103"/>
      <c r="R205" s="1382"/>
      <c r="S205" s="2103"/>
      <c r="T205" s="2103"/>
    </row>
    <row r="206" spans="1:20">
      <c r="A206" s="1382"/>
      <c r="B206" s="2103" t="s">
        <v>635</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637</v>
      </c>
      <c r="C207" s="1382"/>
      <c r="D207" s="1382"/>
      <c r="E207" s="1382"/>
      <c r="F207" s="1382"/>
      <c r="G207" s="2132">
        <f>'Part III-A-Uses of Funds'!G97</f>
        <v>68250</v>
      </c>
      <c r="H207" s="2132"/>
      <c r="I207" s="1382"/>
      <c r="J207" s="2132"/>
      <c r="K207" s="2132"/>
      <c r="L207" s="2121"/>
      <c r="M207" s="2132"/>
      <c r="N207" s="2132"/>
      <c r="O207" s="1382"/>
      <c r="P207" s="2132"/>
      <c r="Q207" s="2132"/>
      <c r="R207" s="1382"/>
      <c r="S207" s="2132">
        <f>'Part III-A-Uses of Funds'!S97</f>
        <v>68250</v>
      </c>
      <c r="T207" s="2132"/>
    </row>
    <row r="208" spans="1:20">
      <c r="A208" s="1382"/>
      <c r="B208" s="1382" t="s">
        <v>639</v>
      </c>
      <c r="C208" s="1382"/>
      <c r="D208" s="1382"/>
      <c r="E208" s="1382"/>
      <c r="F208" s="1382"/>
      <c r="G208" s="2132">
        <f>'Part III-A-Uses of Funds'!G98</f>
        <v>35000</v>
      </c>
      <c r="H208" s="2132"/>
      <c r="I208" s="1382"/>
      <c r="J208" s="2132"/>
      <c r="K208" s="2132"/>
      <c r="L208" s="2121"/>
      <c r="M208" s="2132"/>
      <c r="N208" s="2132"/>
      <c r="O208" s="1382"/>
      <c r="P208" s="2132"/>
      <c r="Q208" s="2132"/>
      <c r="R208" s="1382"/>
      <c r="S208" s="2132">
        <f>'Part III-A-Uses of Funds'!S98</f>
        <v>35000</v>
      </c>
      <c r="T208" s="2132"/>
    </row>
    <row r="209" spans="1:20">
      <c r="A209" s="1382"/>
      <c r="B209" s="1382" t="s">
        <v>607</v>
      </c>
      <c r="C209" s="1382"/>
      <c r="D209" s="1382"/>
      <c r="E209" s="1382"/>
      <c r="F209" s="1382"/>
      <c r="G209" s="2132">
        <f>'Part III-A-Uses of Funds'!G99</f>
        <v>65000</v>
      </c>
      <c r="H209" s="2132"/>
      <c r="I209" s="1382"/>
      <c r="J209" s="2132"/>
      <c r="K209" s="2132"/>
      <c r="L209" s="2121"/>
      <c r="M209" s="2132"/>
      <c r="N209" s="2132"/>
      <c r="O209" s="1382"/>
      <c r="P209" s="2132"/>
      <c r="Q209" s="2132"/>
      <c r="R209" s="1382"/>
      <c r="S209" s="2132">
        <f>'Part III-A-Uses of Funds'!S99</f>
        <v>65000</v>
      </c>
      <c r="T209" s="2132"/>
    </row>
    <row r="210" spans="1:20">
      <c r="A210" s="1382"/>
      <c r="B210" s="1382" t="s">
        <v>640</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641</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642</v>
      </c>
      <c r="C212" s="2077">
        <f>'Part III-A-Uses of Funds'!C102</f>
        <v>0</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547</v>
      </c>
      <c r="G213" s="2132">
        <f>SUM(G207:G212)</f>
        <v>168250</v>
      </c>
      <c r="H213" s="2132"/>
      <c r="I213" s="1382"/>
      <c r="J213" s="2132"/>
      <c r="K213" s="2132"/>
      <c r="L213" s="2121"/>
      <c r="M213" s="2132"/>
      <c r="N213" s="2132"/>
      <c r="O213" s="1382"/>
      <c r="P213" s="2132"/>
      <c r="Q213" s="2132"/>
      <c r="R213" s="1382"/>
      <c r="S213" s="2132">
        <f>SUM(S207:S212)</f>
        <v>168250</v>
      </c>
      <c r="T213" s="2132"/>
    </row>
    <row r="214" spans="1:20">
      <c r="A214" s="1382"/>
      <c r="B214" s="2103" t="s">
        <v>643</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645</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650</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c r="A218" s="1382"/>
      <c r="B218" s="1382" t="s">
        <v>654</v>
      </c>
      <c r="C218" s="1382"/>
      <c r="D218" s="1382"/>
      <c r="E218" s="2190">
        <f>ROUNDUP('DCA Underwriting Assumptions'!$Q$70*J301,0)</f>
        <v>92924</v>
      </c>
      <c r="F218" s="2190"/>
      <c r="G218" s="2132">
        <f>'Part III-A-Uses of Funds'!G108</f>
        <v>92924</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92924</v>
      </c>
      <c r="T218" s="2132"/>
    </row>
    <row r="219" spans="1:20">
      <c r="A219" s="1382"/>
      <c r="B219" s="1382" t="s">
        <v>657</v>
      </c>
      <c r="C219" s="1382"/>
      <c r="D219" s="1382"/>
      <c r="E219" s="2190">
        <f>AF221+AF225</f>
        <v>0</v>
      </c>
      <c r="F219" s="2190"/>
      <c r="G219" s="2132">
        <f>'Part III-A-Uses of Funds'!G109</f>
        <v>48000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48000</v>
      </c>
      <c r="T219" s="2132"/>
    </row>
    <row r="220" spans="1:20">
      <c r="A220" s="1382"/>
      <c r="B220" s="1382" t="s">
        <v>659</v>
      </c>
      <c r="C220" s="1382"/>
      <c r="D220" s="1382"/>
      <c r="E220" s="1382"/>
      <c r="F220" s="2193"/>
      <c r="G220" s="2132">
        <f>'Part III-A-Uses of Funds'!G110</f>
        <v>3500</v>
      </c>
      <c r="H220" s="2132"/>
      <c r="I220" s="2192"/>
      <c r="J220" s="2192"/>
      <c r="K220" s="2192"/>
      <c r="L220" s="2192"/>
      <c r="M220" s="2192"/>
      <c r="N220" s="2192"/>
      <c r="O220" s="2192"/>
      <c r="P220" s="2192"/>
      <c r="Q220" s="2192"/>
      <c r="R220" s="2192"/>
      <c r="S220" s="2132">
        <f>'Part III-A-Uses of Funds'!S110</f>
        <v>3500</v>
      </c>
      <c r="T220" s="2132"/>
    </row>
    <row r="221" spans="1:20">
      <c r="A221" s="1382"/>
      <c r="B221" s="1382" t="s">
        <v>661</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75" customHeight="1">
      <c r="A222" s="2155" t="str">
        <f>IF(AND(G222&gt;0,OR(C222="",C222="&lt;Enter detailed description here; use Comments section if needed&gt;")),"X","")</f>
        <v/>
      </c>
      <c r="B222" s="2109" t="s">
        <v>663</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663</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547</v>
      </c>
      <c r="G224" s="2132">
        <f>SUM(G215:G223)</f>
        <v>162424</v>
      </c>
      <c r="H224" s="2132"/>
      <c r="I224" s="1382"/>
      <c r="J224" s="2121"/>
      <c r="K224" s="2121"/>
      <c r="L224" s="2121"/>
      <c r="M224" s="2121"/>
      <c r="N224" s="2121"/>
      <c r="O224" s="1382"/>
      <c r="P224" s="2121"/>
      <c r="Q224" s="2121"/>
      <c r="R224" s="1382"/>
      <c r="S224" s="2132">
        <f>SUM(S215:S223)</f>
        <v>162424</v>
      </c>
      <c r="T224" s="2132"/>
    </row>
    <row r="225" spans="1:20">
      <c r="A225" s="1382"/>
      <c r="B225" s="2103" t="s">
        <v>669</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670</v>
      </c>
      <c r="C226" s="1382"/>
      <c r="D226" s="1382"/>
      <c r="E226" s="1382"/>
      <c r="F226" s="1382"/>
      <c r="G226" s="2132">
        <f>'Part III-A-Uses of Funds'!G116</f>
        <v>5000</v>
      </c>
      <c r="H226" s="2132"/>
      <c r="I226" s="1382"/>
      <c r="J226" s="2132"/>
      <c r="K226" s="2132"/>
      <c r="L226" s="2121"/>
      <c r="M226" s="2132"/>
      <c r="N226" s="2132"/>
      <c r="O226" s="1382"/>
      <c r="P226" s="2132"/>
      <c r="Q226" s="2132"/>
      <c r="R226" s="1382"/>
      <c r="S226" s="2132">
        <f>'Part III-A-Uses of Funds'!S116</f>
        <v>5000</v>
      </c>
      <c r="T226" s="2132"/>
    </row>
    <row r="227" spans="1:20">
      <c r="A227" s="1382"/>
      <c r="B227" s="1382" t="s">
        <v>671</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672</v>
      </c>
      <c r="C228" s="1382"/>
      <c r="D228" s="1382"/>
      <c r="E228" s="1382"/>
      <c r="F228" s="1382"/>
      <c r="G228" s="2132">
        <f>'Part III-A-Uses of Funds'!G118</f>
        <v>50000</v>
      </c>
      <c r="H228" s="2132"/>
      <c r="I228" s="1382"/>
      <c r="J228" s="2132"/>
      <c r="K228" s="2132"/>
      <c r="L228" s="2121"/>
      <c r="M228" s="2132"/>
      <c r="N228" s="2132"/>
      <c r="O228" s="1382"/>
      <c r="P228" s="2132"/>
      <c r="Q228" s="2132"/>
      <c r="R228" s="1382"/>
      <c r="S228" s="2132">
        <f>'Part III-A-Uses of Funds'!S118</f>
        <v>50000</v>
      </c>
      <c r="T228" s="2132"/>
    </row>
    <row r="229" spans="1:20" ht="15.95" customHeight="1">
      <c r="A229" s="2155" t="str">
        <f>IF(AND(G229&gt;0,OR(C229="",C229="&lt;Enter detailed description here; use Comments section if needed&gt;")),"X","")</f>
        <v/>
      </c>
      <c r="B229" s="2109" t="s">
        <v>663</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547</v>
      </c>
      <c r="G230" s="2132">
        <f>SUM(G226:G229)</f>
        <v>55000</v>
      </c>
      <c r="H230" s="2132"/>
      <c r="I230" s="1382"/>
      <c r="J230" s="2132"/>
      <c r="K230" s="2132"/>
      <c r="L230" s="2121"/>
      <c r="M230" s="2132"/>
      <c r="N230" s="2132"/>
      <c r="O230" s="1382"/>
      <c r="P230" s="2132"/>
      <c r="Q230" s="2132"/>
      <c r="R230" s="1382"/>
      <c r="S230" s="2132">
        <f>SUM(S226:S229)</f>
        <v>55000</v>
      </c>
      <c r="T230" s="2132"/>
    </row>
    <row r="231" spans="1:20">
      <c r="A231" s="1382"/>
      <c r="B231" s="2103" t="s">
        <v>679</v>
      </c>
      <c r="C231" s="1382"/>
      <c r="D231" s="1382"/>
      <c r="E231" s="2145" t="s">
        <v>644</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684</v>
      </c>
      <c r="C232" s="1382"/>
      <c r="D232" s="1382"/>
      <c r="E232" s="1382"/>
      <c r="F232" s="2138">
        <f>IF($G$127=0,0,G232/$G$127)</f>
        <v>0</v>
      </c>
      <c r="G232" s="2132">
        <f>'Part III-A-Uses of Funds'!G122</f>
        <v>626000</v>
      </c>
      <c r="H232" s="2132"/>
      <c r="I232" s="1382"/>
      <c r="J232" s="2132">
        <f>'Part III-A-Uses of Funds'!J122</f>
        <v>626000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685</v>
      </c>
      <c r="C233" s="1382"/>
      <c r="D233" s="1382"/>
      <c r="E233" s="1382"/>
      <c r="F233" s="2194">
        <f>'Part III-A-Uses of Funds'!F123</f>
        <v>626000</v>
      </c>
      <c r="G233" s="2195" t="s">
        <v>686</v>
      </c>
      <c r="H233" s="1382"/>
      <c r="I233" s="1382"/>
      <c r="J233" s="1382"/>
      <c r="K233" s="1382"/>
      <c r="L233" s="1382"/>
      <c r="M233" s="1382"/>
      <c r="N233" s="1382"/>
      <c r="O233" s="1382"/>
      <c r="P233" s="1382"/>
      <c r="Q233" s="1382"/>
      <c r="R233" s="1382"/>
      <c r="S233" s="1382"/>
      <c r="T233" s="1382"/>
    </row>
    <row r="234" spans="1:20">
      <c r="A234" s="1382"/>
      <c r="B234" s="1382" t="s">
        <v>687</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688</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689</v>
      </c>
      <c r="C236" s="1382"/>
      <c r="D236" s="1382"/>
      <c r="E236" s="1382"/>
      <c r="F236" s="2138">
        <f>IF($G$127=0,0,G236/$G$127)</f>
        <v>0</v>
      </c>
      <c r="G236" s="2132">
        <f>'Part III-A-Uses of Funds'!G126</f>
        <v>969000</v>
      </c>
      <c r="H236" s="2132"/>
      <c r="I236" s="1382"/>
      <c r="J236" s="2132">
        <f>'Part III-A-Uses of Funds'!J126</f>
        <v>969000</v>
      </c>
      <c r="K236" s="2132"/>
      <c r="L236" s="2121"/>
      <c r="M236" s="2132">
        <f>'Part III-A-Uses of Funds'!M126</f>
        <v>0</v>
      </c>
      <c r="N236" s="2132"/>
      <c r="O236" s="1382"/>
      <c r="P236" s="2132">
        <f>'Part III-A-Uses of Funds'!P126</f>
        <v>0</v>
      </c>
      <c r="Q236" s="2132"/>
      <c r="R236" s="1382"/>
      <c r="S236" s="2132">
        <f>'Part III-A-Uses of Funds'!S126</f>
        <v>0</v>
      </c>
      <c r="T236" s="2132"/>
    </row>
    <row r="237" spans="1:20">
      <c r="A237" s="2196" t="str">
        <f>IF(G237&gt;E237,"DF over limit!  Round down/Enter nbr.","")</f>
        <v/>
      </c>
      <c r="B237" s="2197"/>
      <c r="C237" s="1382"/>
      <c r="D237" s="2145" t="s">
        <v>690</v>
      </c>
      <c r="E237" s="2198" t="str">
        <f>IF(AF232+AF235=0,"Fill in Rent Chart!",IF(F231="9%",AH232,IF(F231="4%",AH235,"Select App Type!")))</f>
        <v>Fill in Rent Chart!</v>
      </c>
      <c r="F237" s="2156" t="s">
        <v>547</v>
      </c>
      <c r="G237" s="2132">
        <f>SUM(G232:G236)</f>
        <v>1595000</v>
      </c>
      <c r="H237" s="2132"/>
      <c r="I237" s="1382"/>
      <c r="J237" s="2132">
        <f>SUM(J232:J236)</f>
        <v>1595000</v>
      </c>
      <c r="K237" s="2132"/>
      <c r="L237" s="2121"/>
      <c r="M237" s="2132">
        <f>SUM(M232:M236)</f>
        <v>0</v>
      </c>
      <c r="N237" s="2132"/>
      <c r="O237" s="1382"/>
      <c r="P237" s="2132">
        <f>SUM(P232:P236)</f>
        <v>0</v>
      </c>
      <c r="Q237" s="2132"/>
      <c r="R237" s="1382"/>
      <c r="S237" s="2132">
        <f>SUM(S232:S236)</f>
        <v>0</v>
      </c>
      <c r="T237" s="2132"/>
    </row>
    <row r="238" spans="1:20">
      <c r="A238" s="1382"/>
      <c r="B238" s="2103" t="s">
        <v>691</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693</v>
      </c>
      <c r="C239" s="1382"/>
      <c r="D239" s="1382"/>
      <c r="E239" s="1382"/>
      <c r="F239" s="1382"/>
      <c r="G239" s="2132">
        <f>'Part III-A-Uses of Funds'!G129</f>
        <v>50000</v>
      </c>
      <c r="H239" s="2132"/>
      <c r="I239" s="1382"/>
      <c r="J239" s="2189"/>
      <c r="K239" s="2189"/>
      <c r="L239" s="2189"/>
      <c r="M239" s="2189"/>
      <c r="N239" s="2189"/>
      <c r="O239" s="1382"/>
      <c r="P239" s="2189"/>
      <c r="Q239" s="2189"/>
      <c r="R239" s="1382"/>
      <c r="S239" s="2132">
        <f>'Part III-A-Uses of Funds'!S129</f>
        <v>50000</v>
      </c>
      <c r="T239" s="2132"/>
    </row>
    <row r="240" spans="1:20">
      <c r="A240" s="1382"/>
      <c r="B240" s="1382" t="s">
        <v>695</v>
      </c>
      <c r="C240" s="1382"/>
      <c r="D240" s="1382"/>
      <c r="E240" s="1382"/>
      <c r="F240" s="2199">
        <f>+'Part V-Revenues &amp; Expenses'!$Q$232*('DCA Underwriting Assumptions'!$Q$104/12)</f>
        <v>75666</v>
      </c>
      <c r="G240" s="2132">
        <f>'Part III-A-Uses of Funds'!G130</f>
        <v>75666</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75666</v>
      </c>
      <c r="T240" s="2132"/>
    </row>
    <row r="241" spans="1:20">
      <c r="A241" s="1382"/>
      <c r="B241" s="1382" t="s">
        <v>696</v>
      </c>
      <c r="C241" s="1382"/>
      <c r="D241" s="1382"/>
      <c r="E241" s="1382"/>
      <c r="F241" s="2199">
        <f>'Part V-Revenues &amp; Expenses'!$Q$232*('DCA Underwriting Assumptions'!$Q$103/12)+('Part VI-Pro Forma'!$B$26+'Part VI-Pro Forma'!$B$27+'Part VI-Pro Forma'!$B$28+'Part VI-Pro Forma'!$B$29)*'DCA Underwriting Assumptions'!$Q$102/(-12)</f>
        <v>245665.26825428382</v>
      </c>
      <c r="G241" s="2132">
        <f>'Part III-A-Uses of Funds'!G131</f>
        <v>245665</v>
      </c>
      <c r="H241" s="2132"/>
      <c r="I241" s="1382"/>
      <c r="J241" s="2200" t="str">
        <f>IF(E241&gt;G241,"WARNING! ODR proposed is below minimum - add comment.","")</f>
        <v/>
      </c>
      <c r="K241" s="2189"/>
      <c r="L241" s="2189"/>
      <c r="M241" s="2189"/>
      <c r="N241" s="2189"/>
      <c r="O241" s="1382"/>
      <c r="P241" s="2189"/>
      <c r="Q241" s="2189"/>
      <c r="R241" s="1382"/>
      <c r="S241" s="2132">
        <f>'Part III-A-Uses of Funds'!S131</f>
        <v>245665</v>
      </c>
      <c r="T241" s="2132"/>
    </row>
    <row r="242" spans="1:20">
      <c r="A242" s="1382"/>
      <c r="B242" s="1382" t="s">
        <v>697</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699</v>
      </c>
      <c r="C243" s="1382"/>
      <c r="D243" s="1382"/>
      <c r="E243" s="2158" t="s">
        <v>700</v>
      </c>
      <c r="F243" s="2199">
        <f>IF('Part V-Revenues &amp; Expenses'!$P$67=0,0,G243/'Part V-Revenues &amp; Expenses'!$P$67)</f>
        <v>2250</v>
      </c>
      <c r="G243" s="2132">
        <f>'Part III-A-Uses of Funds'!G133</f>
        <v>135000</v>
      </c>
      <c r="H243" s="2132"/>
      <c r="I243" s="1382"/>
      <c r="J243" s="2132">
        <f>'Part III-A-Uses of Funds'!J133</f>
        <v>135000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663</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547</v>
      </c>
      <c r="G245" s="2132">
        <f>SUM(G239:G244)</f>
        <v>506331</v>
      </c>
      <c r="H245" s="2132"/>
      <c r="I245" s="1382"/>
      <c r="J245" s="2132">
        <f>SUM(J243:J244)</f>
        <v>135000</v>
      </c>
      <c r="K245" s="2132"/>
      <c r="L245" s="2121"/>
      <c r="M245" s="2132">
        <f>SUM(M243:M244)</f>
        <v>0</v>
      </c>
      <c r="N245" s="2132"/>
      <c r="O245" s="1382"/>
      <c r="P245" s="2132">
        <f>SUM(P243:P244)</f>
        <v>0</v>
      </c>
      <c r="Q245" s="2132"/>
      <c r="R245" s="1382"/>
      <c r="S245" s="2132">
        <f>SUM(S239:S244)</f>
        <v>371331</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2231</v>
      </c>
      <c r="C249" s="1382"/>
      <c r="D249" s="1382"/>
      <c r="E249" s="1382"/>
      <c r="F249" s="1382"/>
      <c r="G249" s="1382"/>
      <c r="H249" s="1382"/>
      <c r="I249" s="1382"/>
      <c r="J249" s="2103" t="s">
        <v>527</v>
      </c>
      <c r="K249" s="2103"/>
      <c r="L249" s="2132"/>
      <c r="M249" s="2154" t="s">
        <v>528</v>
      </c>
      <c r="N249" s="2154"/>
      <c r="O249" s="1382"/>
      <c r="P249" s="2103" t="s">
        <v>529</v>
      </c>
      <c r="Q249" s="2103"/>
      <c r="R249" s="1382"/>
      <c r="S249" s="2103" t="s">
        <v>530</v>
      </c>
      <c r="T249" s="2103"/>
    </row>
    <row r="250" spans="1:20">
      <c r="A250" s="1382"/>
      <c r="B250" s="1382"/>
      <c r="C250" s="1382"/>
      <c r="D250" s="1382"/>
      <c r="E250" s="1382"/>
      <c r="F250" s="1382"/>
      <c r="G250" s="2103" t="s">
        <v>531</v>
      </c>
      <c r="H250" s="2103"/>
      <c r="I250" s="1382"/>
      <c r="J250" s="2103"/>
      <c r="K250" s="2103"/>
      <c r="L250" s="2132"/>
      <c r="M250" s="2154"/>
      <c r="N250" s="2154"/>
      <c r="O250" s="1382"/>
      <c r="P250" s="2103"/>
      <c r="Q250" s="2103"/>
      <c r="R250" s="1382"/>
      <c r="S250" s="2103"/>
      <c r="T250" s="2103"/>
    </row>
    <row r="251" spans="1:20">
      <c r="A251" s="1382"/>
      <c r="B251" s="2103" t="s">
        <v>702</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703</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663</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547</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4.1">
      <c r="A256" s="1382"/>
      <c r="B256" s="2205" t="s">
        <v>2232</v>
      </c>
      <c r="C256" s="1382"/>
      <c r="D256" s="1382"/>
      <c r="E256" s="2158"/>
      <c r="F256" s="2206"/>
      <c r="G256" s="2154">
        <f>G128+G134+G138+G146+G151+G156+G165+G183+G196+G202+G213+G224+G230+G237+G245+G254</f>
        <v>17967647</v>
      </c>
      <c r="H256" s="2154"/>
      <c r="I256" s="1382"/>
      <c r="J256" s="2154">
        <f>J128+J134+J138+J146+J151+J156+J165+J183+J196+J202+J213+J224+J230+J237+J245+J254</f>
        <v>14423689</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3543958</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2233</v>
      </c>
      <c r="C258" s="2171"/>
      <c r="D258" s="2208">
        <f>IF('Part V-Revenues &amp; Expenses'!$P$67=0,0,G256/'Part V-Revenues &amp; Expenses'!$P$67)</f>
        <v>299460.78333333333</v>
      </c>
      <c r="E258" s="2208"/>
      <c r="F258" s="2188" t="s">
        <v>706</v>
      </c>
      <c r="G258" s="2208">
        <f>IF('Part V-Revenues &amp; Expenses'!$K$179=0,0,G256/'Part V-Revenues &amp; Expenses'!$K$179)</f>
        <v>322.81656156237085</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25" customHeight="1">
      <c r="A260" s="2153" t="s">
        <v>25</v>
      </c>
      <c r="B260" s="2210" t="s">
        <v>707</v>
      </c>
      <c r="C260" s="2104"/>
      <c r="D260" s="2121"/>
      <c r="E260" s="2121"/>
      <c r="F260" s="2121"/>
      <c r="G260" s="1382"/>
      <c r="H260" s="1382"/>
      <c r="I260" s="2211"/>
      <c r="J260" s="2103" t="s">
        <v>527</v>
      </c>
      <c r="K260" s="2103"/>
      <c r="L260" s="1382"/>
      <c r="M260" s="2103" t="s">
        <v>708</v>
      </c>
      <c r="N260" s="2103"/>
      <c r="O260" s="1382"/>
      <c r="P260" s="2103" t="s">
        <v>529</v>
      </c>
      <c r="Q260" s="2103"/>
      <c r="R260" s="1382"/>
      <c r="S260" s="1382"/>
      <c r="T260" s="1382"/>
    </row>
    <row r="261" spans="1:20">
      <c r="A261" s="1382"/>
      <c r="B261" s="2113" t="s">
        <v>709</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710</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711</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712</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713</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714</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715</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717</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718</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719</v>
      </c>
      <c r="C272" s="1382"/>
      <c r="D272" s="1382"/>
      <c r="E272" s="1382"/>
      <c r="F272" s="1382"/>
      <c r="G272" s="1382"/>
      <c r="H272" s="1382"/>
      <c r="I272" s="1382"/>
      <c r="J272" s="2137">
        <f>J256</f>
        <v>14423689</v>
      </c>
      <c r="K272" s="2137"/>
      <c r="L272" s="1382"/>
      <c r="M272" s="2137">
        <f>M256</f>
        <v>0</v>
      </c>
      <c r="N272" s="2137"/>
      <c r="O272" s="1382"/>
      <c r="P272" s="2137">
        <f>P256</f>
        <v>0</v>
      </c>
      <c r="Q272" s="2137"/>
      <c r="R272" s="2213" t="s">
        <v>720</v>
      </c>
      <c r="S272" s="2213"/>
      <c r="T272" s="2213"/>
    </row>
    <row r="273" spans="1:20">
      <c r="A273" s="1382"/>
      <c r="B273" s="1382" t="s">
        <v>721</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722</v>
      </c>
      <c r="C274" s="1382"/>
      <c r="D274" s="1382"/>
      <c r="E274" s="1382"/>
      <c r="F274" s="1382"/>
      <c r="G274" s="1382"/>
      <c r="H274" s="1382"/>
      <c r="I274" s="1382"/>
      <c r="J274" s="2137">
        <f>J272-J273</f>
        <v>14423689</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724</v>
      </c>
      <c r="C275" s="1382"/>
      <c r="D275" s="1382"/>
      <c r="E275" s="1382"/>
      <c r="F275" s="1382"/>
      <c r="G275" s="1204" t="s">
        <v>725</v>
      </c>
      <c r="H275" s="1382" t="str">
        <f>'Part III-A-Uses of Funds'!H165</f>
        <v>&lt;&lt;Select&gt;&gt;</v>
      </c>
      <c r="I275" s="1382"/>
      <c r="J275" s="2214">
        <f>'Part III-A-Uses of Funds'!J165</f>
        <v>1</v>
      </c>
      <c r="K275" s="2214"/>
      <c r="L275" s="1382"/>
      <c r="M275" s="2214"/>
      <c r="N275" s="2214"/>
      <c r="O275" s="1382"/>
      <c r="P275" s="2214">
        <f>'Part III-A-Uses of Funds'!P165</f>
        <v>0</v>
      </c>
      <c r="Q275" s="2214"/>
      <c r="R275" s="2109"/>
      <c r="S275" s="2109"/>
      <c r="T275" s="2109"/>
    </row>
    <row r="276" spans="1:20">
      <c r="A276" s="1382"/>
      <c r="B276" s="1382" t="s">
        <v>727</v>
      </c>
      <c r="C276" s="1382"/>
      <c r="D276" s="1382"/>
      <c r="E276" s="1382"/>
      <c r="F276" s="1382"/>
      <c r="G276" s="1382"/>
      <c r="H276" s="1382"/>
      <c r="I276" s="1382"/>
      <c r="J276" s="2137">
        <f>J274*J275</f>
        <v>14423689</v>
      </c>
      <c r="K276" s="2137"/>
      <c r="L276" s="1382"/>
      <c r="M276" s="2137">
        <f>+M274</f>
        <v>0</v>
      </c>
      <c r="N276" s="2137"/>
      <c r="O276" s="1382"/>
      <c r="P276" s="2137">
        <f>P274*P275</f>
        <v>0</v>
      </c>
      <c r="Q276" s="2137"/>
      <c r="R276" s="2109"/>
      <c r="S276" s="2109"/>
      <c r="T276" s="2109"/>
    </row>
    <row r="277" spans="1:20">
      <c r="A277" s="1382"/>
      <c r="B277" s="1382" t="s">
        <v>728</v>
      </c>
      <c r="C277" s="1382"/>
      <c r="D277" s="1382"/>
      <c r="E277" s="1382"/>
      <c r="F277" s="1382"/>
      <c r="G277" s="1382"/>
      <c r="H277" s="1382"/>
      <c r="I277" s="1382"/>
      <c r="J277" s="2215">
        <f>MIN('Part V-Revenues &amp; Expenses'!$P$63/'Part V-Revenues &amp; Expenses'!$P$65,'Part V-Revenues &amp; Expenses'!$P$168/'Part V-Revenues &amp; Expenses'!$P$170)</f>
        <v>0.89477999962727595</v>
      </c>
      <c r="K277" s="2215"/>
      <c r="L277" s="1382"/>
      <c r="M277" s="2215">
        <f>MIN('Part V-Revenues &amp; Expenses'!$P$63/'Part V-Revenues &amp; Expenses'!$P$65,'Part V-Revenues &amp; Expenses'!$P$168/'Part V-Revenues &amp; Expenses'!$P$170)</f>
        <v>0.89477999962727595</v>
      </c>
      <c r="N277" s="2215"/>
      <c r="O277" s="1382"/>
      <c r="P277" s="2215">
        <f>MIN('Part V-Revenues &amp; Expenses'!$P$63/'Part V-Revenues &amp; Expenses'!$P$65,'Part V-Revenues &amp; Expenses'!$P$168/'Part V-Revenues &amp; Expenses'!$P$170)</f>
        <v>0.89477999962727595</v>
      </c>
      <c r="Q277" s="2215"/>
      <c r="R277" s="2216" t="str">
        <f>'Part III-A-Uses of Funds'!R167</f>
        <v>&lt;&lt;Select % of Eligible Basis&gt;&gt;</v>
      </c>
      <c r="S277" s="2216"/>
      <c r="T277" s="2216"/>
    </row>
    <row r="278" spans="1:20">
      <c r="A278" s="1382"/>
      <c r="B278" s="1382" t="s">
        <v>730</v>
      </c>
      <c r="C278" s="1382"/>
      <c r="D278" s="1382"/>
      <c r="E278" s="1382"/>
      <c r="F278" s="1382"/>
      <c r="G278" s="1382"/>
      <c r="H278" s="1382"/>
      <c r="I278" s="1382"/>
      <c r="J278" s="2137">
        <f>J276*J277</f>
        <v>12906028.438043945</v>
      </c>
      <c r="K278" s="2137"/>
      <c r="L278" s="1382"/>
      <c r="M278" s="2137">
        <f>M276*M277</f>
        <v>0</v>
      </c>
      <c r="N278" s="2137"/>
      <c r="O278" s="1382"/>
      <c r="P278" s="2137">
        <f>P276*P277</f>
        <v>0</v>
      </c>
      <c r="Q278" s="2137"/>
      <c r="R278" s="1382"/>
      <c r="S278" s="1382"/>
      <c r="T278" s="1382"/>
    </row>
    <row r="279" spans="1:20">
      <c r="A279" s="1382"/>
      <c r="B279" s="1382" t="s">
        <v>731</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732</v>
      </c>
      <c r="C280" s="1382"/>
      <c r="D280" s="1382"/>
      <c r="E280" s="1382"/>
      <c r="F280" s="1382"/>
      <c r="G280" s="1382"/>
      <c r="H280" s="1382"/>
      <c r="I280" s="1382"/>
      <c r="J280" s="2137">
        <f>J278*J279</f>
        <v>1161542.5594239549</v>
      </c>
      <c r="K280" s="2137"/>
      <c r="L280" s="1382"/>
      <c r="M280" s="2137">
        <f>M278*M279</f>
        <v>0</v>
      </c>
      <c r="N280" s="2137"/>
      <c r="O280" s="1382"/>
      <c r="P280" s="2137">
        <f>P278*P279</f>
        <v>0</v>
      </c>
      <c r="Q280" s="2137"/>
      <c r="R280" s="1382"/>
      <c r="S280" s="1382"/>
      <c r="T280" s="1382"/>
    </row>
    <row r="281" spans="1:20">
      <c r="A281" s="1382"/>
      <c r="B281" s="2103" t="s">
        <v>733</v>
      </c>
      <c r="C281" s="1382"/>
      <c r="D281" s="1382"/>
      <c r="E281" s="1382"/>
      <c r="F281" s="1382"/>
      <c r="G281" s="1382"/>
      <c r="H281" s="1382"/>
      <c r="I281" s="1382"/>
      <c r="J281" s="2136">
        <f>ROUNDDOWN(J280+M280+P280,0)</f>
        <v>1161542</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4.1">
      <c r="A283" s="2218" t="s">
        <v>32</v>
      </c>
      <c r="B283" s="2218" t="s">
        <v>734</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735</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2234</v>
      </c>
      <c r="C286" s="1382"/>
      <c r="D286" s="1382"/>
      <c r="E286" s="1382"/>
      <c r="F286" s="1382"/>
      <c r="G286" s="1382"/>
      <c r="H286" s="1382"/>
      <c r="I286" s="1382"/>
      <c r="J286" s="2137">
        <f>G256</f>
        <v>17967647</v>
      </c>
      <c r="K286" s="2137"/>
      <c r="L286" s="2137"/>
      <c r="M286" s="1382"/>
      <c r="N286" s="2213" t="s">
        <v>737</v>
      </c>
      <c r="O286" s="2213"/>
      <c r="P286" s="2213"/>
      <c r="Q286" s="2213"/>
      <c r="R286" s="1382"/>
      <c r="S286" s="2109" t="s">
        <v>738</v>
      </c>
      <c r="T286" s="2109"/>
    </row>
    <row r="287" spans="1:20">
      <c r="A287" s="1382"/>
      <c r="B287" s="1382" t="s">
        <v>739</v>
      </c>
      <c r="C287" s="1382"/>
      <c r="D287" s="1382"/>
      <c r="E287" s="1382"/>
      <c r="F287" s="1382"/>
      <c r="G287" s="1382"/>
      <c r="H287" s="1382"/>
      <c r="I287" s="1382"/>
      <c r="J287" s="2137">
        <f>'Part II-Sources of Funds'!$I$60-'Part II-Sources of Funds'!$I$44-'Part II-Sources of Funds'!$I$45-'Part II-Sources of Funds'!$I$51-'Part II-Sources of Funds'!$I$52</f>
        <v>2530000</v>
      </c>
      <c r="K287" s="2137"/>
      <c r="L287" s="2137"/>
      <c r="M287" s="2213"/>
      <c r="N287" s="2213"/>
      <c r="O287" s="2213"/>
      <c r="P287" s="2213"/>
      <c r="Q287" s="2213"/>
      <c r="R287" s="1382"/>
      <c r="S287" s="2109"/>
      <c r="T287" s="2109"/>
    </row>
    <row r="288" spans="1:20">
      <c r="A288" s="1382"/>
      <c r="B288" s="1382" t="s">
        <v>740</v>
      </c>
      <c r="C288" s="1382"/>
      <c r="D288" s="1382"/>
      <c r="E288" s="1382"/>
      <c r="F288" s="1382"/>
      <c r="G288" s="1382"/>
      <c r="H288" s="1382"/>
      <c r="I288" s="1382"/>
      <c r="J288" s="2137">
        <f>+J286-J287</f>
        <v>15437647</v>
      </c>
      <c r="K288" s="2137"/>
      <c r="L288" s="2137"/>
      <c r="M288" s="2213"/>
      <c r="N288" s="2213"/>
      <c r="O288" s="2213"/>
      <c r="P288" s="2213"/>
      <c r="Q288" s="2213"/>
      <c r="R288" s="1382"/>
      <c r="S288" s="2109"/>
      <c r="T288" s="2109"/>
    </row>
    <row r="289" spans="1:20">
      <c r="A289" s="1382"/>
      <c r="B289" s="1382" t="s">
        <v>741</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742</v>
      </c>
      <c r="T289" s="2221">
        <f>'Part III-A-Uses of Funds'!T179</f>
        <v>0</v>
      </c>
    </row>
    <row r="290" spans="1:20">
      <c r="A290" s="1382"/>
      <c r="B290" s="1382" t="s">
        <v>743</v>
      </c>
      <c r="C290" s="1382"/>
      <c r="D290" s="1382"/>
      <c r="E290" s="1382"/>
      <c r="F290" s="1382"/>
      <c r="G290" s="1382"/>
      <c r="H290" s="1382"/>
      <c r="I290" s="1382"/>
      <c r="J290" s="2137">
        <f>J288/10</f>
        <v>1543764.7</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744</v>
      </c>
      <c r="O291" s="1382"/>
      <c r="P291" s="1382"/>
      <c r="Q291" s="1382" t="s">
        <v>206</v>
      </c>
      <c r="R291" s="1382"/>
      <c r="S291" s="1382"/>
      <c r="T291" s="1382"/>
    </row>
    <row r="292" spans="1:20">
      <c r="A292" s="1382"/>
      <c r="B292" s="1382" t="s">
        <v>2235</v>
      </c>
      <c r="C292" s="1382"/>
      <c r="D292" s="1382"/>
      <c r="E292" s="1382"/>
      <c r="F292" s="1382"/>
      <c r="G292" s="1382"/>
      <c r="H292" s="1382"/>
      <c r="I292" s="1382"/>
      <c r="J292" s="2222">
        <f>N292+Q292</f>
        <v>1.3</v>
      </c>
      <c r="K292" s="2222"/>
      <c r="L292" s="2222"/>
      <c r="M292" s="1204" t="s">
        <v>746</v>
      </c>
      <c r="N292" s="2223">
        <f>'Part III-A-Uses of Funds'!N182</f>
        <v>0.8</v>
      </c>
      <c r="O292" s="2223"/>
      <c r="P292" s="1204" t="s">
        <v>747</v>
      </c>
      <c r="Q292" s="2223">
        <f>'Part III-A-Uses of Funds'!Q182</f>
        <v>0.5</v>
      </c>
      <c r="R292" s="2223"/>
      <c r="S292" s="1382"/>
      <c r="T292" s="1382"/>
    </row>
    <row r="293" spans="1:20">
      <c r="A293" s="1382"/>
      <c r="B293" s="2103" t="s">
        <v>748</v>
      </c>
      <c r="C293" s="1382"/>
      <c r="D293" s="1382"/>
      <c r="E293" s="1382"/>
      <c r="F293" s="1382"/>
      <c r="G293" s="1382"/>
      <c r="H293" s="1382"/>
      <c r="I293" s="1382"/>
      <c r="J293" s="2136">
        <f>ROUNDDOWN(IF(J292=0,"",J290/J292),0)</f>
        <v>1187511</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4.1">
      <c r="A295" s="2218" t="s">
        <v>52</v>
      </c>
      <c r="B295" s="2218" t="s">
        <v>749</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2236</v>
      </c>
      <c r="C297" s="1382"/>
      <c r="D297" s="1382"/>
      <c r="E297" s="1382"/>
      <c r="F297" s="1382"/>
      <c r="G297" s="1382"/>
      <c r="H297" s="1382"/>
      <c r="I297" s="1382"/>
      <c r="J297" s="2136">
        <f>'Part III-A-Uses of Funds'!J187</f>
        <v>1161542</v>
      </c>
      <c r="K297" s="2136"/>
      <c r="L297" s="2136"/>
      <c r="M297" s="1382"/>
      <c r="N297" s="1382"/>
      <c r="O297" s="1382"/>
      <c r="P297" s="1382"/>
      <c r="Q297" s="2109" t="s">
        <v>751</v>
      </c>
      <c r="R297" s="2109"/>
      <c r="S297" s="2109" t="str">
        <f>'Part VIII Scoring Criteria'!$J$12</f>
        <v>Rural</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2237</v>
      </c>
      <c r="C299" s="1382"/>
      <c r="D299" s="1382"/>
      <c r="E299" s="1382"/>
      <c r="F299" s="1382"/>
      <c r="G299" s="1382"/>
      <c r="H299" s="1382"/>
      <c r="I299" s="1382"/>
      <c r="J299" s="2136">
        <f>'Part III-A-Uses of Funds'!J189</f>
        <v>1161542</v>
      </c>
      <c r="K299" s="2136"/>
      <c r="L299" s="2136"/>
      <c r="M299" s="2226" t="str">
        <f>IF(J297=0,"",IF(J299&gt;J297,"Request can't exceed Maximum - REVISE (Try Round Down)!",""))</f>
        <v/>
      </c>
      <c r="N299" s="2226"/>
      <c r="O299" s="2226"/>
      <c r="P299" s="2226"/>
      <c r="Q299" s="2195" t="s">
        <v>753</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4.1">
      <c r="A301" s="2218"/>
      <c r="B301" s="2218" t="s">
        <v>2238</v>
      </c>
      <c r="C301" s="1382"/>
      <c r="D301" s="272"/>
      <c r="E301" s="272"/>
      <c r="F301" s="2110"/>
      <c r="G301" s="1382"/>
      <c r="H301" s="1382"/>
      <c r="I301" s="1382"/>
      <c r="J301" s="2136">
        <f>IF(J299="",0,+MIN(J297,J299))</f>
        <v>1161542</v>
      </c>
      <c r="K301" s="2136"/>
      <c r="L301" s="2136"/>
      <c r="M301" s="2226"/>
      <c r="N301" s="2226"/>
      <c r="O301" s="2226"/>
      <c r="P301" s="2226"/>
      <c r="Q301" s="295" t="s">
        <v>644</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70</v>
      </c>
      <c r="B304" s="271" t="s">
        <v>80</v>
      </c>
      <c r="C304" s="272"/>
      <c r="D304" s="272"/>
      <c r="E304" s="272"/>
      <c r="F304" s="272"/>
      <c r="G304" s="272"/>
      <c r="H304" s="272"/>
      <c r="I304" s="272"/>
      <c r="J304" s="272"/>
      <c r="K304" s="272"/>
      <c r="L304" s="272"/>
      <c r="M304" s="272"/>
      <c r="N304" s="2103" t="s">
        <v>79</v>
      </c>
      <c r="O304" s="2103" t="s">
        <v>82</v>
      </c>
      <c r="P304" s="272"/>
      <c r="Q304" s="272"/>
      <c r="R304" s="272"/>
      <c r="S304" s="272"/>
      <c r="T304" s="272"/>
    </row>
    <row r="305" spans="1:20" ht="12.75" customHeight="1">
      <c r="A305" s="2129" t="str">
        <f>'Part III-A-Uses of Funds'!A195</f>
        <v>Construction Hard Costs were determined with consultation between the Developer, Architect, Civil Engineers and the General Contractor.  All those parties are well versed in this building type as they have worked together on very similar apartmenrts.  The General Contractor has provided a written Estimate of Development Costs and it is included in Tab 08 Readiness Subfolder Tab 01, Feasibility.
Local Goverment Fees were calculated pursuant to current fee schedules and calculation is included in Tab 08 Readiness Subfolder Tab 01, Feasibility.
Water Tap Fees are included with the Sewer Tap Fees and calculation is included in Tab 08 Readiness Subfolder Tab 01, Feasibility.</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95">
      <c r="A307" s="2227" t="str">
        <f>CONCATENATE("PART THREE (B) -  OTHER COSTS","  -  ",'Part I-Project Identification'!$O$7," - ",'Part I-Project Identification'!$F$26,"  -  ",'Part I-Project Identification'!$F$27,"  -  ",'Part I-Project Identification'!$J$27,",  ","County")</f>
        <v>PART THREE (B) -  OTHER COSTS  -  2024-0 - Abbington Blue Ridge  -  Blue Ridge  -  Fannin,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756</v>
      </c>
      <c r="B309" s="2230"/>
      <c r="C309" s="2230"/>
      <c r="D309" s="2230"/>
      <c r="E309" s="2230"/>
      <c r="F309" s="2230"/>
      <c r="G309" s="2230"/>
      <c r="H309" s="2230"/>
    </row>
    <row r="310" spans="1:20" s="2229" customFormat="1" ht="6" customHeight="1"/>
    <row r="311" spans="1:20" s="2229" customFormat="1" ht="38.25" customHeight="1">
      <c r="A311" s="2231" t="s">
        <v>2239</v>
      </c>
      <c r="B311" s="2231"/>
      <c r="C311" s="2231"/>
      <c r="D311" s="2231"/>
      <c r="F311" s="2232" t="s">
        <v>758</v>
      </c>
      <c r="G311" s="2233"/>
      <c r="H311" s="2232" t="s">
        <v>759</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532</v>
      </c>
      <c r="B314" s="2236"/>
      <c r="C314" s="2236"/>
      <c r="D314" s="2236"/>
      <c r="E314" s="2236"/>
      <c r="F314" s="2236"/>
      <c r="G314" s="2236"/>
      <c r="H314" s="2236"/>
    </row>
    <row r="315" spans="1:20" s="2235" customFormat="1" ht="41.25" customHeight="1">
      <c r="A315" s="2237" t="str">
        <f>'Part III-A-Uses of Funds'!$C$15</f>
        <v>Arch, Environ, &amp; Cost Review</v>
      </c>
      <c r="B315" s="2237"/>
      <c r="C315" s="2237"/>
      <c r="D315" s="2237"/>
      <c r="F315" s="2238" t="str">
        <f>'Part III-B-Other Items'!F9</f>
        <v>Lender due diligence costs for plan review, environmental report review, and construction cost review.  See Construction Loan Commitment for backup.</v>
      </c>
      <c r="G315" s="2236"/>
      <c r="H315" s="2238" t="str">
        <f>'Part III-B-Other Items'!H9</f>
        <v>Cost are for construction related reviews so 100% are included in basis.</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762</v>
      </c>
      <c r="B318" s="2240">
        <f>'Part III-A-Uses of Funds'!$G$15</f>
        <v>12000</v>
      </c>
      <c r="C318" s="2239" t="s">
        <v>719</v>
      </c>
      <c r="D318" s="2240">
        <f>'Part III-A-Uses of Funds'!$J$15+'Part III-A-Uses of Funds'!$M$15+'Part III-A-Uses of Funds'!$P$15</f>
        <v>12000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762</v>
      </c>
      <c r="B323" s="2240">
        <f>'Part III-A-Uses of Funds'!$G$16</f>
        <v>0</v>
      </c>
      <c r="C323" s="2239" t="s">
        <v>719</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762</v>
      </c>
      <c r="B328" s="2240">
        <f>'Part III-A-Uses of Funds'!$G$17</f>
        <v>0</v>
      </c>
      <c r="C328" s="2239" t="s">
        <v>719</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763</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1.1">
      <c r="A334" s="2239" t="s">
        <v>762</v>
      </c>
      <c r="B334" s="2240">
        <f>'Part III-A-Uses of Funds'!$G$46</f>
        <v>0</v>
      </c>
      <c r="C334" s="2239" t="s">
        <v>719</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595</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762</v>
      </c>
      <c r="B340" s="2240">
        <f>'Part III-A-Uses of Funds'!$G$71</f>
        <v>0</v>
      </c>
      <c r="C340" s="2239" t="s">
        <v>719</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762</v>
      </c>
      <c r="B345" s="2240">
        <f>'Part III-A-Uses of Funds'!$G$72</f>
        <v>0</v>
      </c>
      <c r="C345" s="2239" t="s">
        <v>719</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611</v>
      </c>
      <c r="B347" s="2236"/>
      <c r="C347" s="2236"/>
      <c r="D347" s="2236"/>
      <c r="E347" s="2243"/>
      <c r="F347" s="2243"/>
      <c r="G347" s="2236"/>
    </row>
    <row r="348" spans="1:8" s="2235" customFormat="1" ht="41.25" customHeight="1">
      <c r="A348" s="2237" t="str">
        <f>'Part III-A-Uses of Funds'!$C$85</f>
        <v>Landscape Architect</v>
      </c>
      <c r="B348" s="2237"/>
      <c r="C348" s="2237"/>
      <c r="D348" s="2237"/>
      <c r="F348" s="2238" t="str">
        <f>'Part III-B-Other Items'!F42</f>
        <v>Landscape Architect for construction plans and permit</v>
      </c>
      <c r="G348" s="2236"/>
      <c r="H348" s="2238" t="str">
        <f>'Part III-B-Other Items'!H42</f>
        <v>Landscape architect design and inspection incurred for construction and 100% included in basis.</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762</v>
      </c>
      <c r="B351" s="2240">
        <f>'Part III-A-Uses of Funds'!$G$85</f>
        <v>15000</v>
      </c>
      <c r="C351" s="2239" t="s">
        <v>719</v>
      </c>
      <c r="D351" s="2240">
        <f>'Part III-A-Uses of Funds'!$J$85+'Part III-A-Uses of Funds'!$M$85+'Part III-A-Uses of Funds'!$P$85</f>
        <v>15000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635</v>
      </c>
      <c r="B353" s="2236"/>
      <c r="C353" s="2236"/>
      <c r="D353" s="2236"/>
      <c r="E353" s="2236"/>
      <c r="F353" s="2236"/>
      <c r="G353" s="2236"/>
    </row>
    <row r="354" spans="1:7" s="2235" customFormat="1" ht="41.25" customHeight="1">
      <c r="A354" s="2237">
        <f>'Part III-A-Uses of Funds'!$C$102</f>
        <v>0</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762</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2240</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1.1">
      <c r="A363" s="2239" t="s">
        <v>762</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1.1">
      <c r="A368" s="2239" t="s">
        <v>762</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2241</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1.1">
      <c r="A374" s="2239" t="s">
        <v>762</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691</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762</v>
      </c>
      <c r="B380" s="2240">
        <f>'Part III-A-Uses of Funds'!$G$134</f>
        <v>0</v>
      </c>
      <c r="C380" s="2239" t="s">
        <v>719</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2242</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762</v>
      </c>
      <c r="B386" s="2240">
        <f>'Part III-A-Uses of Funds'!$G$143</f>
        <v>0</v>
      </c>
      <c r="C386" s="2239" t="s">
        <v>719</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1.1"/>
    <row r="391" spans="1:13">
      <c r="A391" s="1319" t="str">
        <f>CONCATENATE("PART FOUR - UTILITY ALLOWANCES","  -  ",'Part I-Project Identification'!$O$7," ",'Part I-Project Identification'!$F$26,", ",'Part I-Project Identification'!F334,", ",'Part I-Project Identification'!J334," County")</f>
        <v>PART FOUR - UTILITY ALLOWANCES  -  2024-0 Abbington Blue Ridge,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769</v>
      </c>
      <c r="I393" s="1319" t="str">
        <f>'Part IV-Utility Allowances'!I3</f>
        <v>North</v>
      </c>
      <c r="J393" s="1319"/>
    </row>
    <row r="395" spans="1:13">
      <c r="A395" s="2246" t="s">
        <v>2243</v>
      </c>
    </row>
    <row r="397" spans="1:13">
      <c r="A397" s="255" t="s">
        <v>21</v>
      </c>
      <c r="B397" s="255" t="s">
        <v>772</v>
      </c>
      <c r="F397" s="253" t="s">
        <v>773</v>
      </c>
      <c r="G397" s="253"/>
      <c r="H397" s="253"/>
      <c r="I397" s="253" t="str">
        <f>'Part IV-Utility Allowances'!I7</f>
        <v>DCA</v>
      </c>
      <c r="J397" s="253"/>
      <c r="K397" s="253"/>
      <c r="L397" s="253"/>
      <c r="M397" s="253"/>
    </row>
    <row r="398" spans="1:13">
      <c r="A398" s="255"/>
      <c r="F398" s="253" t="s">
        <v>775</v>
      </c>
      <c r="G398" s="253"/>
      <c r="H398" s="253"/>
      <c r="I398" s="2247">
        <f>'Part IV-Utility Allowances'!I8</f>
        <v>45292</v>
      </c>
      <c r="J398" s="2247"/>
      <c r="K398" s="1456" t="s">
        <v>776</v>
      </c>
      <c r="L398" s="253" t="str">
        <f>'Part IV-Utility Allowances'!L8</f>
        <v>Low-Rise Apt</v>
      </c>
      <c r="M398" s="253"/>
    </row>
    <row r="399" spans="1:13">
      <c r="A399" s="255"/>
    </row>
    <row r="400" spans="1:13">
      <c r="A400" s="255"/>
      <c r="B400" s="255"/>
      <c r="C400" s="255"/>
      <c r="D400" s="255"/>
      <c r="E400" s="255"/>
      <c r="F400" s="255" t="s">
        <v>778</v>
      </c>
      <c r="G400" s="255"/>
      <c r="H400" s="255"/>
      <c r="I400" s="255" t="s">
        <v>779</v>
      </c>
      <c r="J400" s="255"/>
      <c r="K400" s="255"/>
      <c r="L400" s="255"/>
      <c r="M400" s="255"/>
    </row>
    <row r="401" spans="1:13">
      <c r="A401" s="255"/>
      <c r="B401" s="255" t="s">
        <v>780</v>
      </c>
      <c r="C401" s="255"/>
      <c r="D401" s="255" t="s">
        <v>781</v>
      </c>
      <c r="E401" s="255"/>
      <c r="F401" s="1448" t="s">
        <v>782</v>
      </c>
      <c r="G401" s="1448" t="s">
        <v>783</v>
      </c>
      <c r="H401" s="255"/>
      <c r="I401" s="1448" t="s">
        <v>784</v>
      </c>
      <c r="J401" s="1448">
        <v>1</v>
      </c>
      <c r="K401" s="1448">
        <v>2</v>
      </c>
      <c r="L401" s="1448">
        <v>3</v>
      </c>
      <c r="M401" s="1448">
        <v>4</v>
      </c>
    </row>
    <row r="402" spans="1:13">
      <c r="B402" s="253" t="s">
        <v>785</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10</v>
      </c>
      <c r="K402" s="1456">
        <f>'Part IV-Utility Allowances'!K12</f>
        <v>13</v>
      </c>
      <c r="L402" s="1456">
        <f>'Part IV-Utility Allowances'!L12</f>
        <v>18</v>
      </c>
      <c r="M402" s="1456">
        <f>'Part IV-Utility Allowances'!M12</f>
        <v>0</v>
      </c>
    </row>
    <row r="403" spans="1:13">
      <c r="B403" s="253" t="s">
        <v>788</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9</v>
      </c>
      <c r="K403" s="1456">
        <f>'Part IV-Utility Allowances'!K13</f>
        <v>11</v>
      </c>
      <c r="L403" s="1456">
        <f>'Part IV-Utility Allowances'!L13</f>
        <v>13</v>
      </c>
      <c r="M403" s="1456">
        <f>'Part IV-Utility Allowances'!M13</f>
        <v>0</v>
      </c>
    </row>
    <row r="404" spans="1:13">
      <c r="B404" s="253" t="s">
        <v>791</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16</v>
      </c>
      <c r="K404" s="1456">
        <f>'Part IV-Utility Allowances'!K14</f>
        <v>22</v>
      </c>
      <c r="L404" s="1456">
        <f>'Part IV-Utility Allowances'!L14</f>
        <v>27</v>
      </c>
      <c r="M404" s="1456">
        <f>'Part IV-Utility Allowances'!M14</f>
        <v>0</v>
      </c>
    </row>
    <row r="405" spans="1:13">
      <c r="B405" s="253" t="s">
        <v>792</v>
      </c>
      <c r="C405" s="253"/>
      <c r="D405" s="253" t="s">
        <v>789</v>
      </c>
      <c r="F405" s="2248" t="str">
        <f>'Part IV-Utility Allowances'!F15</f>
        <v>X</v>
      </c>
      <c r="G405" s="2248">
        <f>'Part IV-Utility Allowances'!G15</f>
        <v>0</v>
      </c>
      <c r="I405" s="1456">
        <f>'Part IV-Utility Allowances'!I15</f>
        <v>0</v>
      </c>
      <c r="J405" s="1456">
        <f>'Part IV-Utility Allowances'!J15</f>
        <v>7</v>
      </c>
      <c r="K405" s="1456">
        <f>'Part IV-Utility Allowances'!K15</f>
        <v>11</v>
      </c>
      <c r="L405" s="1456">
        <f>'Part IV-Utility Allowances'!L15</f>
        <v>14</v>
      </c>
      <c r="M405" s="1456">
        <f>'Part IV-Utility Allowances'!M15</f>
        <v>0</v>
      </c>
    </row>
    <row r="406" spans="1:13">
      <c r="B406" s="253" t="s">
        <v>793</v>
      </c>
      <c r="C406" s="253"/>
      <c r="D406" s="253" t="s">
        <v>789</v>
      </c>
      <c r="F406" s="2248">
        <f>'Part IV-Utility Allowances'!F16</f>
        <v>0</v>
      </c>
      <c r="G406" s="2248" t="str">
        <f>'Part IV-Utility Allowances'!G16</f>
        <v>X</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794</v>
      </c>
      <c r="C407" s="253"/>
      <c r="D407" s="253" t="s">
        <v>789</v>
      </c>
      <c r="F407" s="2248">
        <f>'Part IV-Utility Allowances'!F17</f>
        <v>0</v>
      </c>
      <c r="G407" s="2248" t="str">
        <f>'Part IV-Utility Allowances'!G17</f>
        <v>X</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795</v>
      </c>
      <c r="C408" s="253"/>
      <c r="D408" s="253" t="s">
        <v>789</v>
      </c>
      <c r="F408" s="2248" t="str">
        <f>'Part IV-Utility Allowances'!F18</f>
        <v>X</v>
      </c>
      <c r="G408" s="2248">
        <f>'Part IV-Utility Allowances'!G18</f>
        <v>0</v>
      </c>
      <c r="I408" s="1456">
        <f>'Part IV-Utility Allowances'!I18</f>
        <v>0</v>
      </c>
      <c r="J408" s="1456">
        <f>'Part IV-Utility Allowances'!J18</f>
        <v>25</v>
      </c>
      <c r="K408" s="1456">
        <f>'Part IV-Utility Allowances'!K18</f>
        <v>32</v>
      </c>
      <c r="L408" s="1456">
        <f>'Part IV-Utility Allowances'!L18</f>
        <v>39</v>
      </c>
      <c r="M408" s="1456">
        <f>'Part IV-Utility Allowances'!M18</f>
        <v>0</v>
      </c>
    </row>
    <row r="409" spans="1:13">
      <c r="B409" s="253" t="s">
        <v>796</v>
      </c>
      <c r="C409" s="253"/>
      <c r="D409" s="253" t="s">
        <v>2244</v>
      </c>
      <c r="E409" s="1456" t="str">
        <f>'Part IV-Utility Allowances'!E19</f>
        <v>Yes</v>
      </c>
      <c r="F409" s="2248" t="str">
        <f>'Part IV-Utility Allowances'!F19</f>
        <v>X</v>
      </c>
      <c r="G409" s="2248">
        <f>'Part IV-Utility Allowances'!G19</f>
        <v>0</v>
      </c>
      <c r="I409" s="1456">
        <f>'Part IV-Utility Allowances'!I19</f>
        <v>0</v>
      </c>
      <c r="J409" s="1456">
        <f>'Part IV-Utility Allowances'!J19</f>
        <v>51</v>
      </c>
      <c r="K409" s="1456">
        <f>'Part IV-Utility Allowances'!K19</f>
        <v>59</v>
      </c>
      <c r="L409" s="1456">
        <f>'Part IV-Utility Allowances'!L19</f>
        <v>73</v>
      </c>
      <c r="M409" s="1456">
        <f>'Part IV-Utility Allowances'!M19</f>
        <v>0</v>
      </c>
    </row>
    <row r="410" spans="1:13">
      <c r="B410" s="253" t="s">
        <v>798</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447</v>
      </c>
      <c r="C411" s="256" t="str">
        <f>'Part IV-Utility Allowances'!C21</f>
        <v>Montly Electric Fee</v>
      </c>
      <c r="D411" s="256"/>
      <c r="E411" s="256"/>
      <c r="F411" s="2248" t="str">
        <f>'Part IV-Utility Allowances'!F21</f>
        <v>X</v>
      </c>
      <c r="G411" s="2248">
        <f>'Part IV-Utility Allowances'!G21</f>
        <v>0</v>
      </c>
      <c r="I411" s="1456">
        <f>'Part IV-Utility Allowances'!I21</f>
        <v>0</v>
      </c>
      <c r="J411" s="1456">
        <f>'Part IV-Utility Allowances'!J21</f>
        <v>23</v>
      </c>
      <c r="K411" s="1456">
        <f>'Part IV-Utility Allowances'!K21</f>
        <v>23</v>
      </c>
      <c r="L411" s="1456">
        <f>'Part IV-Utility Allowances'!L21</f>
        <v>23</v>
      </c>
      <c r="M411" s="1456">
        <f>'Part IV-Utility Allowances'!M21</f>
        <v>0</v>
      </c>
    </row>
    <row r="412" spans="1:13">
      <c r="B412" s="255" t="s">
        <v>800</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141</v>
      </c>
      <c r="K412" s="2248">
        <f>IF(SUM(K402:K411)=0,0,IF(OR($D402="&lt;&lt;Select Fuel &gt;&gt;",$D403="&lt;&lt;Select Fuel &gt;&gt;",$D404="&lt;&lt;Select Fuel &gt;&gt;"),"Select Fuel",IF($E409="&lt;Select&gt;","Submeter?",SUM(K402:K411))))</f>
        <v>171</v>
      </c>
      <c r="L412" s="2248">
        <f>IF(SUM(L402:L411)=0,0,IF(OR($D402="&lt;&lt;Select Fuel &gt;&gt;",$D403="&lt;&lt;Select Fuel &gt;&gt;",$D404="&lt;&lt;Select Fuel &gt;&gt;"),"Select Fuel",IF($E409="&lt;Select&gt;","Submeter?",SUM(L402:L411))))</f>
        <v>207</v>
      </c>
      <c r="M412" s="2248">
        <f>IF(SUM(M402:M411)=0,0,IF(OR($D402="&lt;&lt;Select Fuel &gt;&gt;",$D403="&lt;&lt;Select Fuel &gt;&gt;",$D404="&lt;&lt;Select Fuel &gt;&gt;"),"Select Fuel",IF($E409="&lt;Select&gt;","Submeter?",SUM(M402:M411))))</f>
        <v>0</v>
      </c>
    </row>
    <row r="414" spans="1:13">
      <c r="A414" s="255" t="s">
        <v>25</v>
      </c>
      <c r="B414" s="255" t="s">
        <v>801</v>
      </c>
      <c r="F414" s="253" t="s">
        <v>773</v>
      </c>
      <c r="G414" s="253"/>
      <c r="H414" s="253"/>
      <c r="I414" s="253">
        <f>'Part IV-Utility Allowances'!I24</f>
        <v>0</v>
      </c>
      <c r="J414" s="253"/>
      <c r="K414" s="253"/>
      <c r="L414" s="253"/>
      <c r="M414" s="253"/>
    </row>
    <row r="415" spans="1:13">
      <c r="A415" s="255"/>
      <c r="B415" s="255"/>
      <c r="F415" s="253" t="s">
        <v>775</v>
      </c>
      <c r="G415" s="253"/>
      <c r="H415" s="253"/>
      <c r="I415" s="2247">
        <f>'Part IV-Utility Allowances'!I25</f>
        <v>0</v>
      </c>
      <c r="J415" s="2247"/>
      <c r="K415" s="1456" t="s">
        <v>776</v>
      </c>
      <c r="L415" s="253">
        <f>'Part IV-Utility Allowances'!L25</f>
        <v>0</v>
      </c>
      <c r="M415" s="253"/>
    </row>
    <row r="416" spans="1:13">
      <c r="A416" s="255"/>
    </row>
    <row r="417" spans="1:13">
      <c r="A417" s="255"/>
      <c r="B417" s="255"/>
      <c r="C417" s="255"/>
      <c r="D417" s="255"/>
      <c r="E417" s="255"/>
      <c r="F417" s="255" t="s">
        <v>778</v>
      </c>
      <c r="G417" s="255"/>
      <c r="H417" s="255"/>
      <c r="I417" s="255" t="s">
        <v>779</v>
      </c>
      <c r="J417" s="255"/>
      <c r="K417" s="255"/>
      <c r="L417" s="255"/>
      <c r="M417" s="255"/>
    </row>
    <row r="418" spans="1:13">
      <c r="A418" s="255"/>
      <c r="B418" s="255" t="s">
        <v>780</v>
      </c>
      <c r="C418" s="255"/>
      <c r="D418" s="255" t="s">
        <v>781</v>
      </c>
      <c r="E418" s="255"/>
      <c r="F418" s="1448" t="s">
        <v>782</v>
      </c>
      <c r="G418" s="1448" t="s">
        <v>783</v>
      </c>
      <c r="H418" s="255"/>
      <c r="I418" s="1448" t="s">
        <v>784</v>
      </c>
      <c r="J418" s="1448">
        <v>1</v>
      </c>
      <c r="K418" s="1448">
        <v>2</v>
      </c>
      <c r="L418" s="1448">
        <v>3</v>
      </c>
      <c r="M418" s="1448">
        <v>4</v>
      </c>
    </row>
    <row r="419" spans="1:13">
      <c r="B419" s="253" t="s">
        <v>785</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788</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791</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792</v>
      </c>
      <c r="C422" s="253"/>
      <c r="D422" s="253" t="s">
        <v>789</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793</v>
      </c>
      <c r="C423" s="253"/>
      <c r="D423" s="253" t="s">
        <v>789</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794</v>
      </c>
      <c r="C424" s="253"/>
      <c r="D424" s="253" t="s">
        <v>789</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795</v>
      </c>
      <c r="C425" s="253"/>
      <c r="D425" s="253" t="s">
        <v>789</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796</v>
      </c>
      <c r="C426" s="253"/>
      <c r="D426" s="253" t="s">
        <v>2244</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798</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447</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800</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2245</v>
      </c>
      <c r="F431" s="1320"/>
      <c r="G431" s="1320"/>
      <c r="I431" s="1448"/>
      <c r="J431" s="1448"/>
      <c r="K431" s="1448"/>
      <c r="L431" s="1448"/>
      <c r="M431" s="1448"/>
    </row>
    <row r="432" spans="1:13">
      <c r="A432" s="255"/>
      <c r="B432" s="255" t="s">
        <v>80</v>
      </c>
    </row>
    <row r="433" spans="1:358">
      <c r="B433" s="2249" t="str">
        <f>'Part IV-Utility Allowances'!B43</f>
        <v>Property supplies Range/Microwave and Refrigerator so the cost of those is properly excluded from U/A.  See Tab 08 Readiness Subfolder Tab 01, Feasibility, for a copy of the GA North U/A.</v>
      </c>
      <c r="C433" s="2249"/>
      <c r="D433" s="2249"/>
      <c r="E433" s="2249"/>
      <c r="F433" s="2249"/>
      <c r="G433" s="2249"/>
      <c r="H433" s="2249"/>
      <c r="I433" s="2249"/>
      <c r="J433" s="2249"/>
      <c r="K433" s="2249"/>
      <c r="L433" s="2249"/>
      <c r="M433" s="2249"/>
    </row>
    <row r="435" spans="1:358">
      <c r="A435" s="255"/>
      <c r="B435" s="255" t="s">
        <v>806</v>
      </c>
    </row>
    <row r="436" spans="1:358">
      <c r="B436" s="2249"/>
      <c r="C436" s="2249"/>
      <c r="D436" s="2249"/>
      <c r="E436" s="2249"/>
      <c r="F436" s="2249"/>
      <c r="G436" s="2249"/>
      <c r="H436" s="2249"/>
      <c r="I436" s="2249"/>
      <c r="J436" s="2249"/>
      <c r="K436" s="2249"/>
      <c r="L436" s="2249"/>
      <c r="M436" s="2249"/>
    </row>
    <row r="440" spans="1:358" s="253" customFormat="1" ht="14.25" customHeight="1">
      <c r="A440" s="1319" t="str">
        <f>CONCATENATE("PART FOUR - PROJECTED REVENUES &amp; EXPENSES","  -  ",'Part I-Project Identification'!$O$7," ",'Part I-Project Identification'!$F$26,", ",'Part I-Project Identification'!F382,", ",'Part I-Project Identification'!J382," County")</f>
        <v>PART FOUR - PROJECTED REVENUES &amp; EXPENSES  -  2024-0 Abbington Blue Ridge,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Abbington Blue Ridge,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75" customHeight="1">
      <c r="A442" s="1319" t="s">
        <v>21</v>
      </c>
      <c r="B442" s="1319" t="s">
        <v>823</v>
      </c>
      <c r="D442" s="2119" t="s">
        <v>824</v>
      </c>
      <c r="E442" s="2119"/>
      <c r="F442" s="2119"/>
      <c r="G442" s="2119"/>
      <c r="H442" s="2119"/>
      <c r="I442" s="2119"/>
      <c r="J442" s="2119"/>
      <c r="K442" s="1319"/>
      <c r="L442" s="1319"/>
      <c r="M442" s="1319"/>
      <c r="O442" s="2250" t="s">
        <v>825</v>
      </c>
      <c r="P442" s="2251" t="str">
        <f>'Part I-Project Identification'!$O$29</f>
        <v>Fannin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826</v>
      </c>
      <c r="IF442" s="1447" t="s">
        <v>827</v>
      </c>
      <c r="IG442" s="1447" t="s">
        <v>828</v>
      </c>
      <c r="IH442" s="1447" t="s">
        <v>829</v>
      </c>
      <c r="II442" s="1447" t="s">
        <v>830</v>
      </c>
      <c r="IJ442" s="1447" t="s">
        <v>826</v>
      </c>
      <c r="IK442" s="1447" t="s">
        <v>827</v>
      </c>
      <c r="IL442" s="1447" t="s">
        <v>828</v>
      </c>
      <c r="IM442" s="1447" t="s">
        <v>829</v>
      </c>
      <c r="IN442" s="1447" t="s">
        <v>830</v>
      </c>
      <c r="IO442" s="1457"/>
      <c r="IP442" s="1457"/>
      <c r="IQ442" s="1457"/>
      <c r="IR442" s="1457"/>
      <c r="IS442" s="1457"/>
      <c r="IT442" s="1457"/>
      <c r="IU442" s="1457"/>
      <c r="IV442" s="1457"/>
      <c r="IW442" s="1457"/>
      <c r="IX442" s="1457"/>
      <c r="IY442" s="1447" t="s">
        <v>826</v>
      </c>
      <c r="IZ442" s="1447" t="s">
        <v>827</v>
      </c>
      <c r="JA442" s="1447" t="s">
        <v>828</v>
      </c>
      <c r="JB442" s="1447" t="s">
        <v>829</v>
      </c>
      <c r="JC442" s="1447" t="s">
        <v>830</v>
      </c>
      <c r="JD442" s="1447" t="s">
        <v>826</v>
      </c>
      <c r="JE442" s="1447" t="s">
        <v>827</v>
      </c>
      <c r="JF442" s="1447" t="s">
        <v>828</v>
      </c>
      <c r="JG442" s="1447" t="s">
        <v>829</v>
      </c>
      <c r="JH442" s="1447" t="s">
        <v>830</v>
      </c>
      <c r="JI442" s="1447" t="s">
        <v>826</v>
      </c>
      <c r="JJ442" s="1447" t="s">
        <v>827</v>
      </c>
      <c r="JK442" s="1447" t="s">
        <v>828</v>
      </c>
      <c r="JL442" s="1447" t="s">
        <v>829</v>
      </c>
      <c r="JM442" s="1447" t="s">
        <v>830</v>
      </c>
      <c r="JN442" s="1447" t="s">
        <v>826</v>
      </c>
      <c r="JO442" s="1447" t="s">
        <v>827</v>
      </c>
      <c r="JP442" s="1447" t="s">
        <v>828</v>
      </c>
      <c r="JQ442" s="1447" t="s">
        <v>829</v>
      </c>
      <c r="JR442" s="1447" t="s">
        <v>830</v>
      </c>
      <c r="JS442" s="1447" t="s">
        <v>826</v>
      </c>
      <c r="JT442" s="1447" t="s">
        <v>827</v>
      </c>
      <c r="JU442" s="1447" t="s">
        <v>828</v>
      </c>
      <c r="JV442" s="1447" t="s">
        <v>829</v>
      </c>
      <c r="JW442" s="1447" t="s">
        <v>830</v>
      </c>
      <c r="JX442" s="1447" t="s">
        <v>826</v>
      </c>
      <c r="JY442" s="1447" t="s">
        <v>827</v>
      </c>
      <c r="JZ442" s="1447" t="s">
        <v>828</v>
      </c>
      <c r="KA442" s="1447" t="s">
        <v>829</v>
      </c>
      <c r="KB442" s="1447" t="s">
        <v>830</v>
      </c>
      <c r="KC442" s="1447" t="s">
        <v>826</v>
      </c>
      <c r="KD442" s="1447" t="s">
        <v>827</v>
      </c>
      <c r="KE442" s="1447" t="s">
        <v>828</v>
      </c>
      <c r="KF442" s="1447" t="s">
        <v>829</v>
      </c>
      <c r="KG442" s="1447" t="s">
        <v>830</v>
      </c>
      <c r="KH442" s="1447" t="s">
        <v>826</v>
      </c>
      <c r="KI442" s="1447" t="s">
        <v>827</v>
      </c>
      <c r="KJ442" s="1447" t="s">
        <v>828</v>
      </c>
      <c r="KK442" s="1447" t="s">
        <v>829</v>
      </c>
      <c r="KL442" s="1447" t="s">
        <v>830</v>
      </c>
      <c r="KM442" s="1447" t="s">
        <v>826</v>
      </c>
      <c r="KN442" s="1447" t="s">
        <v>827</v>
      </c>
      <c r="KO442" s="1447" t="s">
        <v>828</v>
      </c>
      <c r="KP442" s="1447" t="s">
        <v>829</v>
      </c>
      <c r="KQ442" s="1447" t="s">
        <v>830</v>
      </c>
      <c r="KR442" s="1447" t="s">
        <v>826</v>
      </c>
      <c r="KS442" s="1447" t="s">
        <v>827</v>
      </c>
      <c r="KT442" s="1447" t="s">
        <v>828</v>
      </c>
      <c r="KU442" s="1447" t="s">
        <v>829</v>
      </c>
      <c r="KV442" s="1447" t="s">
        <v>830</v>
      </c>
      <c r="KW442" s="1447" t="s">
        <v>826</v>
      </c>
      <c r="KX442" s="1447" t="s">
        <v>827</v>
      </c>
      <c r="KY442" s="1447" t="s">
        <v>828</v>
      </c>
      <c r="KZ442" s="1447" t="s">
        <v>829</v>
      </c>
      <c r="LA442" s="1447" t="s">
        <v>830</v>
      </c>
      <c r="LB442" s="1447" t="s">
        <v>826</v>
      </c>
      <c r="LC442" s="1447" t="s">
        <v>827</v>
      </c>
      <c r="LD442" s="1447" t="s">
        <v>828</v>
      </c>
      <c r="LE442" s="1447" t="s">
        <v>829</v>
      </c>
      <c r="LF442" s="1447" t="s">
        <v>830</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831</v>
      </c>
      <c r="MG442" s="254" t="s">
        <v>832</v>
      </c>
      <c r="MH442" s="254" t="s">
        <v>833</v>
      </c>
      <c r="MI442" s="254" t="s">
        <v>834</v>
      </c>
      <c r="MJ442" s="254" t="s">
        <v>835</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2246</v>
      </c>
      <c r="R443" s="2253"/>
      <c r="X443" s="254" t="s">
        <v>837</v>
      </c>
      <c r="Y443" s="254" t="s">
        <v>838</v>
      </c>
      <c r="Z443" s="254" t="s">
        <v>839</v>
      </c>
      <c r="AA443" s="254" t="s">
        <v>840</v>
      </c>
      <c r="AB443" s="254" t="s">
        <v>841</v>
      </c>
      <c r="AC443" s="254" t="s">
        <v>842</v>
      </c>
      <c r="AD443" s="254" t="s">
        <v>843</v>
      </c>
      <c r="AE443" s="254" t="s">
        <v>844</v>
      </c>
      <c r="AF443" s="254" t="s">
        <v>845</v>
      </c>
      <c r="AG443" s="254" t="s">
        <v>846</v>
      </c>
      <c r="AH443" s="254" t="s">
        <v>847</v>
      </c>
      <c r="AI443" s="254" t="s">
        <v>848</v>
      </c>
      <c r="AJ443" s="254" t="s">
        <v>849</v>
      </c>
      <c r="AK443" s="254" t="s">
        <v>850</v>
      </c>
      <c r="AL443" s="254" t="s">
        <v>851</v>
      </c>
      <c r="AM443" s="254" t="s">
        <v>852</v>
      </c>
      <c r="AN443" s="254" t="s">
        <v>853</v>
      </c>
      <c r="AO443" s="254" t="s">
        <v>854</v>
      </c>
      <c r="AP443" s="254" t="s">
        <v>855</v>
      </c>
      <c r="AQ443" s="254" t="s">
        <v>856</v>
      </c>
      <c r="AR443" s="254" t="s">
        <v>857</v>
      </c>
      <c r="AS443" s="254" t="s">
        <v>858</v>
      </c>
      <c r="AT443" s="254" t="s">
        <v>859</v>
      </c>
      <c r="AU443" s="254" t="s">
        <v>860</v>
      </c>
      <c r="AV443" s="254" t="s">
        <v>861</v>
      </c>
      <c r="AW443" s="254" t="s">
        <v>862</v>
      </c>
      <c r="AX443" s="254" t="s">
        <v>863</v>
      </c>
      <c r="AY443" s="254" t="s">
        <v>864</v>
      </c>
      <c r="AZ443" s="254" t="s">
        <v>865</v>
      </c>
      <c r="BA443" s="254" t="s">
        <v>866</v>
      </c>
      <c r="BB443" s="254" t="s">
        <v>867</v>
      </c>
      <c r="BC443" s="254" t="s">
        <v>868</v>
      </c>
      <c r="BD443" s="254" t="s">
        <v>869</v>
      </c>
      <c r="BE443" s="254" t="s">
        <v>870</v>
      </c>
      <c r="BF443" s="254" t="s">
        <v>871</v>
      </c>
      <c r="BG443" s="254" t="s">
        <v>872</v>
      </c>
      <c r="BH443" s="254" t="s">
        <v>873</v>
      </c>
      <c r="BI443" s="254" t="s">
        <v>874</v>
      </c>
      <c r="BJ443" s="254" t="s">
        <v>875</v>
      </c>
      <c r="BK443" s="254" t="s">
        <v>876</v>
      </c>
      <c r="BL443" s="254" t="s">
        <v>877</v>
      </c>
      <c r="BM443" s="254" t="s">
        <v>878</v>
      </c>
      <c r="BN443" s="254" t="s">
        <v>879</v>
      </c>
      <c r="BO443" s="254" t="s">
        <v>880</v>
      </c>
      <c r="BP443" s="254" t="s">
        <v>881</v>
      </c>
      <c r="BQ443" s="254" t="s">
        <v>882</v>
      </c>
      <c r="BR443" s="254" t="s">
        <v>883</v>
      </c>
      <c r="BS443" s="254" t="s">
        <v>884</v>
      </c>
      <c r="BT443" s="254" t="s">
        <v>885</v>
      </c>
      <c r="BU443" s="254" t="s">
        <v>886</v>
      </c>
      <c r="BV443" s="254" t="s">
        <v>887</v>
      </c>
      <c r="BW443" s="254" t="s">
        <v>888</v>
      </c>
      <c r="BX443" s="254" t="s">
        <v>889</v>
      </c>
      <c r="BY443" s="254" t="s">
        <v>890</v>
      </c>
      <c r="BZ443" s="254" t="s">
        <v>891</v>
      </c>
      <c r="CA443" s="254" t="s">
        <v>892</v>
      </c>
      <c r="CB443" s="254" t="s">
        <v>893</v>
      </c>
      <c r="CC443" s="254" t="s">
        <v>894</v>
      </c>
      <c r="CD443" s="254" t="s">
        <v>895</v>
      </c>
      <c r="CE443" s="254" t="s">
        <v>896</v>
      </c>
      <c r="CF443" s="254" t="s">
        <v>897</v>
      </c>
      <c r="CG443" s="254" t="s">
        <v>898</v>
      </c>
      <c r="CH443" s="254" t="s">
        <v>899</v>
      </c>
      <c r="CI443" s="254" t="s">
        <v>900</v>
      </c>
      <c r="CJ443" s="254" t="s">
        <v>901</v>
      </c>
      <c r="CK443" s="254" t="s">
        <v>902</v>
      </c>
      <c r="CL443" s="254" t="s">
        <v>903</v>
      </c>
      <c r="CM443" s="254" t="s">
        <v>904</v>
      </c>
      <c r="CN443" s="254" t="s">
        <v>905</v>
      </c>
      <c r="CO443" s="254" t="s">
        <v>906</v>
      </c>
      <c r="CP443" s="254" t="s">
        <v>907</v>
      </c>
      <c r="CQ443" s="254" t="s">
        <v>908</v>
      </c>
      <c r="CR443" s="254" t="s">
        <v>909</v>
      </c>
      <c r="CS443" s="254" t="s">
        <v>910</v>
      </c>
      <c r="CT443" s="254" t="s">
        <v>911</v>
      </c>
      <c r="CU443" s="254" t="s">
        <v>912</v>
      </c>
      <c r="CV443" s="254" t="s">
        <v>913</v>
      </c>
      <c r="CW443" s="254" t="s">
        <v>914</v>
      </c>
      <c r="CX443" s="254" t="s">
        <v>915</v>
      </c>
      <c r="CY443" s="254" t="s">
        <v>916</v>
      </c>
      <c r="CZ443" s="254" t="s">
        <v>917</v>
      </c>
      <c r="DA443" s="254" t="s">
        <v>918</v>
      </c>
      <c r="DB443" s="254" t="s">
        <v>919</v>
      </c>
      <c r="DC443" s="254" t="s">
        <v>920</v>
      </c>
      <c r="DD443" s="254" t="s">
        <v>921</v>
      </c>
      <c r="DE443" s="254" t="s">
        <v>922</v>
      </c>
      <c r="DF443" s="254" t="s">
        <v>923</v>
      </c>
      <c r="DG443" s="254" t="s">
        <v>924</v>
      </c>
      <c r="DH443" s="254" t="s">
        <v>925</v>
      </c>
      <c r="DI443" s="254" t="s">
        <v>926</v>
      </c>
      <c r="DJ443" s="254" t="s">
        <v>927</v>
      </c>
      <c r="DK443" s="254" t="s">
        <v>928</v>
      </c>
      <c r="DL443" s="254" t="s">
        <v>929</v>
      </c>
      <c r="DM443" s="254" t="s">
        <v>930</v>
      </c>
      <c r="DN443" s="254" t="s">
        <v>931</v>
      </c>
      <c r="DO443" s="254" t="s">
        <v>932</v>
      </c>
      <c r="DP443" s="254" t="s">
        <v>933</v>
      </c>
      <c r="DQ443" s="254" t="s">
        <v>934</v>
      </c>
      <c r="DR443" s="254" t="s">
        <v>935</v>
      </c>
      <c r="DS443" s="254" t="s">
        <v>936</v>
      </c>
      <c r="DT443" s="254" t="s">
        <v>937</v>
      </c>
      <c r="DU443" s="254" t="s">
        <v>938</v>
      </c>
      <c r="DV443" s="254" t="s">
        <v>939</v>
      </c>
      <c r="DW443" s="254" t="s">
        <v>940</v>
      </c>
      <c r="DX443" s="254" t="s">
        <v>941</v>
      </c>
      <c r="DY443" s="254" t="s">
        <v>942</v>
      </c>
      <c r="DZ443" s="254" t="s">
        <v>943</v>
      </c>
      <c r="EA443" s="254" t="s">
        <v>944</v>
      </c>
      <c r="EB443" s="254" t="s">
        <v>945</v>
      </c>
      <c r="EC443" s="254" t="s">
        <v>946</v>
      </c>
      <c r="ED443" s="254" t="s">
        <v>947</v>
      </c>
      <c r="EE443" s="254" t="s">
        <v>948</v>
      </c>
      <c r="EF443" s="254" t="s">
        <v>949</v>
      </c>
      <c r="EG443" s="254" t="s">
        <v>950</v>
      </c>
      <c r="EH443" s="254" t="s">
        <v>951</v>
      </c>
      <c r="EI443" s="254" t="s">
        <v>952</v>
      </c>
      <c r="EJ443" s="254" t="s">
        <v>953</v>
      </c>
      <c r="EK443" s="254" t="s">
        <v>954</v>
      </c>
      <c r="EL443" s="254" t="s">
        <v>955</v>
      </c>
      <c r="EM443" s="254" t="s">
        <v>956</v>
      </c>
      <c r="EN443" s="254" t="s">
        <v>957</v>
      </c>
      <c r="EO443" s="254" t="s">
        <v>958</v>
      </c>
      <c r="EP443" s="254" t="s">
        <v>959</v>
      </c>
      <c r="EQ443" s="254" t="s">
        <v>960</v>
      </c>
      <c r="ER443" s="254" t="s">
        <v>961</v>
      </c>
      <c r="ES443" s="254" t="s">
        <v>962</v>
      </c>
      <c r="ET443" s="254" t="s">
        <v>963</v>
      </c>
      <c r="EU443" s="254" t="s">
        <v>964</v>
      </c>
      <c r="EV443" s="254" t="s">
        <v>965</v>
      </c>
      <c r="EW443" s="254" t="s">
        <v>966</v>
      </c>
      <c r="EX443" s="254" t="s">
        <v>967</v>
      </c>
      <c r="EY443" s="254" t="s">
        <v>968</v>
      </c>
      <c r="EZ443" s="254" t="s">
        <v>969</v>
      </c>
      <c r="FA443" s="254" t="s">
        <v>970</v>
      </c>
      <c r="FB443" s="254" t="s">
        <v>971</v>
      </c>
      <c r="FC443" s="254" t="s">
        <v>972</v>
      </c>
      <c r="FD443" s="254" t="s">
        <v>973</v>
      </c>
      <c r="FE443" s="254" t="s">
        <v>974</v>
      </c>
      <c r="FF443" s="254" t="s">
        <v>975</v>
      </c>
      <c r="FG443" s="254" t="s">
        <v>976</v>
      </c>
      <c r="FH443" s="254" t="s">
        <v>977</v>
      </c>
      <c r="FI443" s="254" t="s">
        <v>978</v>
      </c>
      <c r="FJ443" s="254" t="s">
        <v>979</v>
      </c>
      <c r="FK443" s="254" t="s">
        <v>980</v>
      </c>
      <c r="FL443" s="254" t="s">
        <v>981</v>
      </c>
      <c r="FM443" s="254" t="s">
        <v>982</v>
      </c>
      <c r="FN443" s="254" t="s">
        <v>983</v>
      </c>
      <c r="FO443" s="254" t="s">
        <v>984</v>
      </c>
      <c r="FP443" s="254" t="s">
        <v>985</v>
      </c>
      <c r="FQ443" s="254" t="s">
        <v>986</v>
      </c>
      <c r="FR443" s="254" t="s">
        <v>987</v>
      </c>
      <c r="FS443" s="254" t="s">
        <v>988</v>
      </c>
      <c r="FT443" s="254" t="s">
        <v>989</v>
      </c>
      <c r="FU443" s="254" t="s">
        <v>990</v>
      </c>
      <c r="FV443" s="254" t="s">
        <v>991</v>
      </c>
      <c r="FW443" s="254" t="s">
        <v>992</v>
      </c>
      <c r="FX443" s="254" t="s">
        <v>993</v>
      </c>
      <c r="FY443" s="254" t="s">
        <v>994</v>
      </c>
      <c r="FZ443" s="254" t="s">
        <v>995</v>
      </c>
      <c r="GA443" s="254" t="s">
        <v>996</v>
      </c>
      <c r="GB443" s="254" t="s">
        <v>997</v>
      </c>
      <c r="GC443" s="254" t="s">
        <v>998</v>
      </c>
      <c r="GD443" s="254" t="s">
        <v>999</v>
      </c>
      <c r="GE443" s="254" t="s">
        <v>1000</v>
      </c>
      <c r="GF443" s="254" t="s">
        <v>1001</v>
      </c>
      <c r="GG443" s="254" t="s">
        <v>1002</v>
      </c>
      <c r="GH443" s="254" t="s">
        <v>1003</v>
      </c>
      <c r="GI443" s="254" t="s">
        <v>1004</v>
      </c>
      <c r="GJ443" s="254" t="s">
        <v>1005</v>
      </c>
      <c r="GK443" s="254" t="s">
        <v>1006</v>
      </c>
      <c r="GL443" s="254" t="s">
        <v>1007</v>
      </c>
      <c r="GM443" s="254" t="s">
        <v>1008</v>
      </c>
      <c r="GN443" s="254" t="s">
        <v>1009</v>
      </c>
      <c r="GO443" s="254" t="s">
        <v>1010</v>
      </c>
      <c r="GP443" s="254" t="s">
        <v>1011</v>
      </c>
      <c r="GQ443" s="254" t="s">
        <v>1012</v>
      </c>
      <c r="GR443" s="254" t="s">
        <v>1013</v>
      </c>
      <c r="GS443" s="254" t="s">
        <v>1014</v>
      </c>
      <c r="GT443" s="254" t="s">
        <v>1015</v>
      </c>
      <c r="GU443" s="254" t="s">
        <v>1016</v>
      </c>
      <c r="GV443" s="254" t="s">
        <v>1017</v>
      </c>
      <c r="GW443" s="254" t="s">
        <v>1018</v>
      </c>
      <c r="GX443" s="254" t="s">
        <v>1019</v>
      </c>
      <c r="GY443" s="254" t="s">
        <v>1020</v>
      </c>
      <c r="GZ443" s="254" t="s">
        <v>1021</v>
      </c>
      <c r="HA443" s="254" t="s">
        <v>1022</v>
      </c>
      <c r="HB443" s="254" t="s">
        <v>1023</v>
      </c>
      <c r="HC443" s="254" t="s">
        <v>1024</v>
      </c>
      <c r="HD443" s="254" t="s">
        <v>1025</v>
      </c>
      <c r="HE443" s="254" t="s">
        <v>1026</v>
      </c>
      <c r="HF443" s="254" t="s">
        <v>1027</v>
      </c>
      <c r="HG443" s="254" t="s">
        <v>1028</v>
      </c>
      <c r="HH443" s="254" t="s">
        <v>1029</v>
      </c>
      <c r="HI443" s="254" t="s">
        <v>1030</v>
      </c>
      <c r="HJ443" s="254" t="s">
        <v>1031</v>
      </c>
      <c r="HK443" s="254" t="s">
        <v>1032</v>
      </c>
      <c r="HL443" s="254" t="s">
        <v>1033</v>
      </c>
      <c r="HM443" s="254" t="s">
        <v>1034</v>
      </c>
      <c r="HN443" s="254" t="s">
        <v>1035</v>
      </c>
      <c r="HO443" s="254" t="s">
        <v>1036</v>
      </c>
      <c r="HP443" s="254" t="s">
        <v>1037</v>
      </c>
      <c r="HQ443" s="254" t="s">
        <v>1038</v>
      </c>
      <c r="HR443" s="254" t="s">
        <v>1039</v>
      </c>
      <c r="HS443" s="254" t="s">
        <v>1040</v>
      </c>
      <c r="HT443" s="254" t="s">
        <v>1041</v>
      </c>
      <c r="HU443" s="254" t="s">
        <v>1042</v>
      </c>
      <c r="HV443" s="254" t="s">
        <v>1043</v>
      </c>
      <c r="HW443" s="254" t="s">
        <v>1044</v>
      </c>
      <c r="HX443" s="254" t="s">
        <v>1045</v>
      </c>
      <c r="HY443" s="254" t="s">
        <v>1046</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1047</v>
      </c>
      <c r="LH443" s="254" t="s">
        <v>1048</v>
      </c>
      <c r="LI443" s="254" t="s">
        <v>1049</v>
      </c>
      <c r="LJ443" s="254" t="s">
        <v>1050</v>
      </c>
      <c r="LK443" s="254" t="s">
        <v>1051</v>
      </c>
      <c r="LL443" s="254" t="s">
        <v>1052</v>
      </c>
      <c r="LM443" s="254" t="s">
        <v>1053</v>
      </c>
      <c r="LN443" s="254" t="s">
        <v>1054</v>
      </c>
      <c r="LO443" s="254" t="s">
        <v>1055</v>
      </c>
      <c r="LP443" s="254" t="s">
        <v>1056</v>
      </c>
      <c r="LQ443" s="254" t="s">
        <v>1057</v>
      </c>
      <c r="LR443" s="254" t="s">
        <v>1058</v>
      </c>
      <c r="LS443" s="254" t="s">
        <v>1059</v>
      </c>
      <c r="LT443" s="254" t="s">
        <v>1060</v>
      </c>
      <c r="LU443" s="254" t="s">
        <v>1061</v>
      </c>
      <c r="LV443" s="254" t="s">
        <v>1062</v>
      </c>
      <c r="LW443" s="254" t="s">
        <v>1063</v>
      </c>
      <c r="LX443" s="254" t="s">
        <v>1064</v>
      </c>
      <c r="LY443" s="254" t="s">
        <v>1065</v>
      </c>
      <c r="LZ443" s="254" t="s">
        <v>1066</v>
      </c>
      <c r="MA443" s="254" t="s">
        <v>1067</v>
      </c>
      <c r="MB443" s="254" t="s">
        <v>1068</v>
      </c>
      <c r="MC443" s="254" t="s">
        <v>1069</v>
      </c>
      <c r="MD443" s="254" t="s">
        <v>1070</v>
      </c>
      <c r="ME443" s="254" t="s">
        <v>1071</v>
      </c>
      <c r="MF443" s="254"/>
      <c r="MG443" s="254"/>
      <c r="MH443" s="254"/>
      <c r="MI443" s="254"/>
      <c r="MJ443" s="254"/>
      <c r="MK443" s="1108"/>
      <c r="ML443" s="1108"/>
      <c r="MM443" s="1108"/>
      <c r="MN443" s="1108"/>
      <c r="MO443" s="1108"/>
      <c r="MP443" s="1108"/>
      <c r="MQ443" s="1108"/>
      <c r="MR443" s="1108"/>
      <c r="MS443" s="1108"/>
      <c r="MT443" s="1108"/>
    </row>
    <row r="444" spans="1:358" s="253" customFormat="1" ht="12.75" customHeight="1">
      <c r="A444" s="2254" t="str">
        <f>IF(A487&gt;0,"Finish Row!","")</f>
        <v/>
      </c>
      <c r="B444" s="1215" t="s">
        <v>2247</v>
      </c>
      <c r="D444" s="2119"/>
      <c r="E444" s="2119"/>
      <c r="F444" s="2119"/>
      <c r="G444" s="1456" t="str">
        <f>'Part V-Revenues &amp; Expenses'!G6</f>
        <v>&lt;Select&gt;</v>
      </c>
      <c r="H444" s="2255" t="s">
        <v>1073</v>
      </c>
      <c r="I444" s="2255"/>
      <c r="J444" s="2255"/>
      <c r="K444" s="2256" t="s">
        <v>816</v>
      </c>
      <c r="L444" s="2257" t="str">
        <f>'Part I-Project Identification'!$A$6</f>
        <v>2024 May 7</v>
      </c>
      <c r="M444" s="2257"/>
      <c r="N444" s="2257"/>
      <c r="O444" s="2258" t="s">
        <v>2248</v>
      </c>
      <c r="P444" s="2259">
        <f>'Part V-Revenues &amp; Expenses'!P6</f>
        <v>77400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1075</v>
      </c>
      <c r="ML444" s="1108" t="s">
        <v>1076</v>
      </c>
      <c r="MM444" s="1108" t="s">
        <v>1077</v>
      </c>
      <c r="MN444" s="1108" t="s">
        <v>1078</v>
      </c>
      <c r="MO444" s="1108" t="s">
        <v>1079</v>
      </c>
      <c r="MP444" s="254" t="s">
        <v>1080</v>
      </c>
      <c r="MQ444" s="254" t="s">
        <v>1081</v>
      </c>
      <c r="MR444" s="254" t="s">
        <v>1082</v>
      </c>
      <c r="MS444" s="254" t="s">
        <v>1083</v>
      </c>
      <c r="MT444" s="254" t="s">
        <v>1084</v>
      </c>
    </row>
    <row r="445" spans="1:358" s="253" customFormat="1" ht="12.75" customHeight="1">
      <c r="A445" s="2254"/>
      <c r="B445" s="2260" t="s">
        <v>1085</v>
      </c>
      <c r="E445" s="1319"/>
      <c r="G445" s="1456" t="str">
        <f>'Part V-Revenues &amp; Expenses'!G7</f>
        <v>No</v>
      </c>
      <c r="I445" s="1215" t="s">
        <v>1086</v>
      </c>
      <c r="J445" s="2256" t="s">
        <v>780</v>
      </c>
      <c r="K445" s="2256" t="s">
        <v>1087</v>
      </c>
      <c r="L445" s="2257"/>
      <c r="M445" s="2257"/>
      <c r="N445" s="2257"/>
      <c r="O445" s="2261" t="s">
        <v>1088</v>
      </c>
      <c r="P445" s="2262">
        <f>'Part V-Revenues &amp; Expenses'!P7</f>
        <v>45383</v>
      </c>
      <c r="Q445" s="2252"/>
      <c r="R445" s="1319" t="s">
        <v>1089</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75" customHeight="1">
      <c r="A446" s="2254"/>
      <c r="B446" s="2256" t="s">
        <v>1090</v>
      </c>
      <c r="I446" s="1215"/>
      <c r="J446" s="2256" t="s">
        <v>1091</v>
      </c>
      <c r="K446" s="2256" t="s">
        <v>1092</v>
      </c>
      <c r="N446" s="2263" t="s">
        <v>1093</v>
      </c>
      <c r="O446" s="2109" t="str">
        <f>'Part V-Revenues &amp; Expenses'!O8</f>
        <v>Novogradic &amp; Co</v>
      </c>
      <c r="P446" s="2109"/>
      <c r="Q446" s="2252"/>
      <c r="R446" s="1319"/>
      <c r="S446" s="2248" t="s">
        <v>1095</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784</v>
      </c>
      <c r="IZ446" s="1447" t="s">
        <v>827</v>
      </c>
      <c r="JA446" s="1447" t="s">
        <v>828</v>
      </c>
      <c r="JB446" s="1447" t="s">
        <v>829</v>
      </c>
      <c r="JC446" s="1447" t="s">
        <v>830</v>
      </c>
      <c r="JD446" s="1447" t="s">
        <v>784</v>
      </c>
      <c r="JE446" s="1447" t="s">
        <v>827</v>
      </c>
      <c r="JF446" s="1447" t="s">
        <v>828</v>
      </c>
      <c r="JG446" s="1447" t="s">
        <v>829</v>
      </c>
      <c r="JH446" s="1447" t="s">
        <v>830</v>
      </c>
      <c r="JI446" s="1447" t="s">
        <v>784</v>
      </c>
      <c r="JJ446" s="1447" t="s">
        <v>827</v>
      </c>
      <c r="JK446" s="1447" t="s">
        <v>828</v>
      </c>
      <c r="JL446" s="1447" t="s">
        <v>829</v>
      </c>
      <c r="JM446" s="1447" t="s">
        <v>830</v>
      </c>
      <c r="JN446" s="1447" t="s">
        <v>784</v>
      </c>
      <c r="JO446" s="1447" t="s">
        <v>827</v>
      </c>
      <c r="JP446" s="1447" t="s">
        <v>828</v>
      </c>
      <c r="JQ446" s="1447" t="s">
        <v>829</v>
      </c>
      <c r="JR446" s="1447" t="s">
        <v>830</v>
      </c>
      <c r="JS446" s="1447" t="s">
        <v>784</v>
      </c>
      <c r="JT446" s="1447" t="s">
        <v>827</v>
      </c>
      <c r="JU446" s="1447" t="s">
        <v>828</v>
      </c>
      <c r="JV446" s="1447" t="s">
        <v>829</v>
      </c>
      <c r="JW446" s="1447" t="s">
        <v>830</v>
      </c>
      <c r="JX446" s="1447" t="s">
        <v>784</v>
      </c>
      <c r="JY446" s="1447" t="s">
        <v>827</v>
      </c>
      <c r="JZ446" s="1447" t="s">
        <v>828</v>
      </c>
      <c r="KA446" s="1447" t="s">
        <v>829</v>
      </c>
      <c r="KB446" s="1447" t="s">
        <v>830</v>
      </c>
      <c r="KC446" s="1447" t="s">
        <v>784</v>
      </c>
      <c r="KD446" s="1447" t="s">
        <v>827</v>
      </c>
      <c r="KE446" s="1447" t="s">
        <v>828</v>
      </c>
      <c r="KF446" s="1447" t="s">
        <v>829</v>
      </c>
      <c r="KG446" s="1447" t="s">
        <v>830</v>
      </c>
      <c r="KH446" s="1447" t="s">
        <v>784</v>
      </c>
      <c r="KI446" s="1447" t="s">
        <v>827</v>
      </c>
      <c r="KJ446" s="1447" t="s">
        <v>828</v>
      </c>
      <c r="KK446" s="1447" t="s">
        <v>829</v>
      </c>
      <c r="KL446" s="1447" t="s">
        <v>830</v>
      </c>
      <c r="KM446" s="1447" t="s">
        <v>784</v>
      </c>
      <c r="KN446" s="1447" t="s">
        <v>827</v>
      </c>
      <c r="KO446" s="1447" t="s">
        <v>828</v>
      </c>
      <c r="KP446" s="1447" t="s">
        <v>829</v>
      </c>
      <c r="KQ446" s="1447" t="s">
        <v>830</v>
      </c>
      <c r="KR446" s="1447" t="s">
        <v>784</v>
      </c>
      <c r="KS446" s="1447" t="s">
        <v>827</v>
      </c>
      <c r="KT446" s="1447" t="s">
        <v>828</v>
      </c>
      <c r="KU446" s="1447" t="s">
        <v>829</v>
      </c>
      <c r="KV446" s="1447" t="s">
        <v>830</v>
      </c>
      <c r="KW446" s="1447" t="s">
        <v>784</v>
      </c>
      <c r="KX446" s="1447" t="s">
        <v>827</v>
      </c>
      <c r="KY446" s="1447" t="s">
        <v>828</v>
      </c>
      <c r="KZ446" s="1447" t="s">
        <v>829</v>
      </c>
      <c r="LA446" s="1447" t="s">
        <v>830</v>
      </c>
      <c r="LB446" s="1447" t="s">
        <v>784</v>
      </c>
      <c r="LC446" s="1447" t="s">
        <v>827</v>
      </c>
      <c r="LD446" s="1447" t="s">
        <v>828</v>
      </c>
      <c r="LE446" s="1447" t="s">
        <v>829</v>
      </c>
      <c r="LF446" s="1447" t="s">
        <v>830</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1096</v>
      </c>
      <c r="C447" s="2256" t="s">
        <v>1097</v>
      </c>
      <c r="D447" s="2256" t="s">
        <v>1098</v>
      </c>
      <c r="E447" s="2256" t="s">
        <v>1099</v>
      </c>
      <c r="F447" s="2256" t="s">
        <v>1099</v>
      </c>
      <c r="G447" s="1215" t="s">
        <v>1100</v>
      </c>
      <c r="H447" s="2253" t="s">
        <v>1101</v>
      </c>
      <c r="I447" s="1215"/>
      <c r="J447" s="2264" t="s">
        <v>1102</v>
      </c>
      <c r="K447" s="2256" t="s">
        <v>2249</v>
      </c>
      <c r="L447" s="1215" t="s">
        <v>1104</v>
      </c>
      <c r="M447" s="1215"/>
      <c r="N447" s="2256" t="s">
        <v>1105</v>
      </c>
      <c r="O447" s="2256" t="s">
        <v>1106</v>
      </c>
      <c r="P447" s="2252" t="s">
        <v>2250</v>
      </c>
      <c r="Q447" s="2252"/>
      <c r="R447" s="2256" t="s">
        <v>1108</v>
      </c>
      <c r="S447" s="2256" t="s">
        <v>1109</v>
      </c>
      <c r="T447" s="2256"/>
      <c r="HZ447" s="254" t="s">
        <v>1110</v>
      </c>
      <c r="IA447" s="1447" t="s">
        <v>827</v>
      </c>
      <c r="IB447" s="1447" t="s">
        <v>828</v>
      </c>
      <c r="IC447" s="1447" t="s">
        <v>829</v>
      </c>
      <c r="ID447" s="1447" t="s">
        <v>830</v>
      </c>
      <c r="IE447" s="254" t="s">
        <v>1111</v>
      </c>
      <c r="IF447" s="254" t="s">
        <v>1111</v>
      </c>
      <c r="IG447" s="254" t="s">
        <v>1111</v>
      </c>
      <c r="IH447" s="254" t="s">
        <v>1111</v>
      </c>
      <c r="II447" s="254" t="s">
        <v>1111</v>
      </c>
      <c r="IJ447" s="254" t="s">
        <v>1112</v>
      </c>
      <c r="IK447" s="254" t="s">
        <v>1112</v>
      </c>
      <c r="IL447" s="254" t="s">
        <v>1112</v>
      </c>
      <c r="IM447" s="254" t="s">
        <v>1112</v>
      </c>
      <c r="IN447" s="254" t="s">
        <v>1112</v>
      </c>
      <c r="IO447" s="1447" t="s">
        <v>784</v>
      </c>
      <c r="IP447" s="1447" t="s">
        <v>827</v>
      </c>
      <c r="IQ447" s="1447" t="s">
        <v>828</v>
      </c>
      <c r="IR447" s="1447" t="s">
        <v>829</v>
      </c>
      <c r="IS447" s="1447" t="s">
        <v>830</v>
      </c>
      <c r="IT447" s="1447" t="s">
        <v>784</v>
      </c>
      <c r="IU447" s="1447" t="s">
        <v>827</v>
      </c>
      <c r="IV447" s="1447" t="s">
        <v>828</v>
      </c>
      <c r="IW447" s="1447" t="s">
        <v>829</v>
      </c>
      <c r="IX447" s="1447" t="s">
        <v>830</v>
      </c>
      <c r="IY447" s="254" t="s">
        <v>1113</v>
      </c>
      <c r="IZ447" s="254" t="s">
        <v>1113</v>
      </c>
      <c r="JA447" s="254" t="s">
        <v>1113</v>
      </c>
      <c r="JB447" s="254" t="s">
        <v>1113</v>
      </c>
      <c r="JC447" s="254" t="s">
        <v>1113</v>
      </c>
      <c r="JD447" s="254" t="s">
        <v>1114</v>
      </c>
      <c r="JE447" s="254" t="s">
        <v>1114</v>
      </c>
      <c r="JF447" s="254" t="s">
        <v>1114</v>
      </c>
      <c r="JG447" s="254" t="s">
        <v>1114</v>
      </c>
      <c r="JH447" s="254" t="s">
        <v>1114</v>
      </c>
      <c r="JI447" s="254" t="s">
        <v>1115</v>
      </c>
      <c r="JJ447" s="254" t="s">
        <v>1115</v>
      </c>
      <c r="JK447" s="254" t="s">
        <v>1115</v>
      </c>
      <c r="JL447" s="254" t="s">
        <v>1115</v>
      </c>
      <c r="JM447" s="254" t="s">
        <v>1115</v>
      </c>
      <c r="JN447" s="254" t="s">
        <v>1116</v>
      </c>
      <c r="JO447" s="254" t="s">
        <v>1116</v>
      </c>
      <c r="JP447" s="254" t="s">
        <v>1116</v>
      </c>
      <c r="JQ447" s="254" t="s">
        <v>1116</v>
      </c>
      <c r="JR447" s="254" t="s">
        <v>1116</v>
      </c>
      <c r="JS447" s="254" t="s">
        <v>1117</v>
      </c>
      <c r="JT447" s="254" t="s">
        <v>1117</v>
      </c>
      <c r="JU447" s="254" t="s">
        <v>1117</v>
      </c>
      <c r="JV447" s="254" t="s">
        <v>1117</v>
      </c>
      <c r="JW447" s="254" t="s">
        <v>1117</v>
      </c>
      <c r="JX447" s="254" t="s">
        <v>1118</v>
      </c>
      <c r="JY447" s="254" t="s">
        <v>1118</v>
      </c>
      <c r="JZ447" s="254" t="s">
        <v>1118</v>
      </c>
      <c r="KA447" s="254" t="s">
        <v>1118</v>
      </c>
      <c r="KB447" s="254" t="s">
        <v>1118</v>
      </c>
      <c r="KC447" s="254" t="s">
        <v>2251</v>
      </c>
      <c r="KD447" s="254" t="s">
        <v>2251</v>
      </c>
      <c r="KE447" s="254" t="s">
        <v>2251</v>
      </c>
      <c r="KF447" s="254" t="s">
        <v>2251</v>
      </c>
      <c r="KG447" s="254" t="s">
        <v>2251</v>
      </c>
      <c r="KH447" s="254" t="s">
        <v>1121</v>
      </c>
      <c r="KI447" s="254" t="s">
        <v>1121</v>
      </c>
      <c r="KJ447" s="254" t="s">
        <v>1121</v>
      </c>
      <c r="KK447" s="254" t="s">
        <v>1121</v>
      </c>
      <c r="KL447" s="254" t="s">
        <v>1121</v>
      </c>
      <c r="KM447" s="254" t="s">
        <v>1122</v>
      </c>
      <c r="KN447" s="254" t="s">
        <v>1122</v>
      </c>
      <c r="KO447" s="254" t="s">
        <v>1122</v>
      </c>
      <c r="KP447" s="254" t="s">
        <v>1122</v>
      </c>
      <c r="KQ447" s="254" t="s">
        <v>1122</v>
      </c>
      <c r="KR447" s="254" t="s">
        <v>1123</v>
      </c>
      <c r="KS447" s="254" t="s">
        <v>1123</v>
      </c>
      <c r="KT447" s="254" t="s">
        <v>1123</v>
      </c>
      <c r="KU447" s="254" t="s">
        <v>1123</v>
      </c>
      <c r="KV447" s="254" t="s">
        <v>1123</v>
      </c>
      <c r="KW447" s="254" t="s">
        <v>1124</v>
      </c>
      <c r="KX447" s="254" t="s">
        <v>1124</v>
      </c>
      <c r="KY447" s="254" t="s">
        <v>1124</v>
      </c>
      <c r="KZ447" s="254" t="s">
        <v>1124</v>
      </c>
      <c r="LA447" s="254" t="s">
        <v>1124</v>
      </c>
      <c r="LB447" s="254" t="s">
        <v>1125</v>
      </c>
      <c r="LC447" s="254" t="s">
        <v>1125</v>
      </c>
      <c r="LD447" s="254" t="s">
        <v>1125</v>
      </c>
      <c r="LE447" s="254" t="s">
        <v>1125</v>
      </c>
      <c r="LF447" s="254" t="s">
        <v>1125</v>
      </c>
      <c r="MK447" s="1108"/>
      <c r="ML447" s="1108"/>
      <c r="MM447" s="1108"/>
      <c r="MN447" s="1108"/>
      <c r="MO447" s="1108"/>
    </row>
    <row r="448" spans="1:358" s="254" customFormat="1" ht="11.25" customHeight="1">
      <c r="A448" s="2254"/>
      <c r="B448" s="2265" t="s">
        <v>1126</v>
      </c>
      <c r="C448" s="2256" t="s">
        <v>808</v>
      </c>
      <c r="D448" s="2256" t="s">
        <v>809</v>
      </c>
      <c r="E448" s="2256" t="s">
        <v>1127</v>
      </c>
      <c r="F448" s="2256" t="s">
        <v>1128</v>
      </c>
      <c r="G448" s="1215"/>
      <c r="H448" s="2256" t="s">
        <v>1129</v>
      </c>
      <c r="I448" s="1215"/>
      <c r="J448" s="2264"/>
      <c r="K448" s="2266" t="s">
        <v>1130</v>
      </c>
      <c r="L448" s="2256" t="s">
        <v>1131</v>
      </c>
      <c r="M448" s="2256" t="s">
        <v>301</v>
      </c>
      <c r="N448" s="2256" t="s">
        <v>1099</v>
      </c>
      <c r="O448" s="2256" t="s">
        <v>1132</v>
      </c>
      <c r="P448" s="2252"/>
      <c r="Q448" s="2252"/>
      <c r="R448" s="2256" t="s">
        <v>1133</v>
      </c>
      <c r="S448" s="2256" t="s">
        <v>1134</v>
      </c>
      <c r="T448" s="255" t="s">
        <v>806</v>
      </c>
      <c r="W448" s="255"/>
      <c r="IA448" s="1447" t="s">
        <v>1135</v>
      </c>
      <c r="IB448" s="1447" t="s">
        <v>1135</v>
      </c>
      <c r="IC448" s="1447" t="s">
        <v>1135</v>
      </c>
      <c r="ID448" s="1447" t="s">
        <v>1135</v>
      </c>
      <c r="IO448" s="1447" t="s">
        <v>1136</v>
      </c>
      <c r="IP448" s="1447" t="s">
        <v>1136</v>
      </c>
      <c r="IQ448" s="1447" t="s">
        <v>1136</v>
      </c>
      <c r="IR448" s="1447" t="s">
        <v>1136</v>
      </c>
      <c r="IS448" s="1447" t="s">
        <v>1136</v>
      </c>
      <c r="IT448" s="1447" t="s">
        <v>1137</v>
      </c>
      <c r="IU448" s="1447" t="s">
        <v>1137</v>
      </c>
      <c r="IV448" s="1447" t="s">
        <v>1137</v>
      </c>
      <c r="IW448" s="1447" t="s">
        <v>1137</v>
      </c>
      <c r="IX448" s="1447" t="s">
        <v>1137</v>
      </c>
      <c r="MK448" s="1108"/>
      <c r="ML448" s="1108"/>
      <c r="MM448" s="1108"/>
      <c r="MN448" s="1108"/>
      <c r="MO448" s="1108"/>
    </row>
    <row r="449" spans="1:380" ht="14.1"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1139</v>
      </c>
    </row>
    <row r="450" spans="1:380" ht="14.1"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1140</v>
      </c>
    </row>
    <row r="451" spans="1:380" ht="14.1" customHeight="1">
      <c r="A451" s="2248" t="str">
        <f t="shared" si="0"/>
        <v/>
      </c>
      <c r="B451" s="2267" t="str">
        <f>'Part V-Revenues &amp; Expenses'!B13</f>
        <v>Unrestricted</v>
      </c>
      <c r="C451" s="2268">
        <f>'Part V-Revenues &amp; Expenses'!C13</f>
        <v>1</v>
      </c>
      <c r="D451" s="2269">
        <f>'Part V-Revenues &amp; Expenses'!D13</f>
        <v>1</v>
      </c>
      <c r="E451" s="2270">
        <f>'Part V-Revenues &amp; Expenses'!E13</f>
        <v>2</v>
      </c>
      <c r="F451" s="2270">
        <f>'Part V-Revenues &amp; Expenses'!F13</f>
        <v>713</v>
      </c>
      <c r="G451" s="2270">
        <f>'Part V-Revenues &amp; Expenses'!G13</f>
        <v>0</v>
      </c>
      <c r="H451" s="2270">
        <f>'Part V-Revenues &amp; Expenses'!H13</f>
        <v>800</v>
      </c>
      <c r="I451" s="2270">
        <f>'Part V-Revenues &amp; Expenses'!I13</f>
        <v>0</v>
      </c>
      <c r="J451" s="2270">
        <f>'Part V-Revenues &amp; Expenses'!J13</f>
        <v>0</v>
      </c>
      <c r="K451" s="2271">
        <f>'Part V-Revenues &amp; Expenses'!K13</f>
        <v>0</v>
      </c>
      <c r="L451" s="2272">
        <f t="shared" si="1"/>
        <v>800</v>
      </c>
      <c r="M451" s="2272">
        <f t="shared" si="2"/>
        <v>1600</v>
      </c>
      <c r="N451" s="2141" t="str">
        <f>'Part V-Revenues &amp; Expenses'!N13</f>
        <v>No</v>
      </c>
      <c r="O451" s="965" t="str">
        <f>'Part V-Revenues &amp; Expenses'!O13</f>
        <v>Low-Rise Apt</v>
      </c>
      <c r="P451" s="2141" t="str">
        <f>'Part V-Revenues &amp; Expenses'!P13</f>
        <v>New Construction</v>
      </c>
      <c r="Q451" s="1457" t="str">
        <f>'Part V-Revenues &amp; Expenses'!Q13</f>
        <v>No</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f t="shared" si="39"/>
        <v>2</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f t="shared" si="154"/>
        <v>1426</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f t="shared" si="174"/>
        <v>2</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f t="shared" si="214"/>
        <v>2</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f t="shared" si="259"/>
        <v>2</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2</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1143</v>
      </c>
    </row>
    <row r="452" spans="1:380" ht="14.1" customHeight="1">
      <c r="A452" s="2248" t="str">
        <f t="shared" si="0"/>
        <v/>
      </c>
      <c r="B452" s="2267" t="str">
        <f>'Part V-Revenues &amp; Expenses'!B14</f>
        <v>Unrestricted</v>
      </c>
      <c r="C452" s="2268">
        <f>'Part V-Revenues &amp; Expenses'!C14</f>
        <v>2</v>
      </c>
      <c r="D452" s="2269">
        <f>'Part V-Revenues &amp; Expenses'!D14</f>
        <v>2</v>
      </c>
      <c r="E452" s="2270">
        <f>'Part V-Revenues &amp; Expenses'!E14</f>
        <v>2</v>
      </c>
      <c r="F452" s="2270">
        <f>'Part V-Revenues &amp; Expenses'!F14</f>
        <v>984</v>
      </c>
      <c r="G452" s="2270">
        <f>'Part V-Revenues &amp; Expenses'!G14</f>
        <v>0</v>
      </c>
      <c r="H452" s="2270">
        <f>'Part V-Revenues &amp; Expenses'!H14</f>
        <v>900</v>
      </c>
      <c r="I452" s="2270">
        <f>'Part V-Revenues &amp; Expenses'!I14</f>
        <v>0</v>
      </c>
      <c r="J452" s="2270">
        <f>'Part V-Revenues &amp; Expenses'!J14</f>
        <v>0</v>
      </c>
      <c r="K452" s="2271">
        <f>'Part V-Revenues &amp; Expenses'!K14</f>
        <v>0</v>
      </c>
      <c r="L452" s="2272">
        <f t="shared" si="1"/>
        <v>900</v>
      </c>
      <c r="M452" s="2272">
        <f t="shared" si="2"/>
        <v>1800</v>
      </c>
      <c r="N452" s="2141" t="str">
        <f>'Part V-Revenues &amp; Expenses'!N14</f>
        <v>No</v>
      </c>
      <c r="O452" s="965" t="str">
        <f>'Part V-Revenues &amp; Expenses'!O14</f>
        <v>Low-Rise Apt</v>
      </c>
      <c r="P452" s="2141" t="str">
        <f>'Part V-Revenues &amp; Expenses'!P14</f>
        <v>New Construction</v>
      </c>
      <c r="Q452" s="1457" t="str">
        <f>'Part V-Revenues &amp; Expenses'!Q14</f>
        <v>No</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f t="shared" si="40"/>
        <v>2</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f t="shared" si="155"/>
        <v>1968</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f t="shared" si="175"/>
        <v>2</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f t="shared" si="215"/>
        <v>2</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f t="shared" si="260"/>
        <v>2</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2</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1144</v>
      </c>
    </row>
    <row r="453" spans="1:380" ht="14.1" customHeight="1">
      <c r="A453" s="2248" t="str">
        <f t="shared" si="0"/>
        <v/>
      </c>
      <c r="B453" s="2267" t="str">
        <f>'Part V-Revenues &amp; Expenses'!B15</f>
        <v>Unrestricted</v>
      </c>
      <c r="C453" s="2268">
        <f>'Part V-Revenues &amp; Expenses'!C15</f>
        <v>3</v>
      </c>
      <c r="D453" s="2269">
        <f>'Part V-Revenues &amp; Expenses'!D15</f>
        <v>2</v>
      </c>
      <c r="E453" s="2270">
        <f>'Part V-Revenues &amp; Expenses'!E15</f>
        <v>2</v>
      </c>
      <c r="F453" s="2270">
        <f>'Part V-Revenues &amp; Expenses'!F15</f>
        <v>1126</v>
      </c>
      <c r="G453" s="2270">
        <f>'Part V-Revenues &amp; Expenses'!G15</f>
        <v>0</v>
      </c>
      <c r="H453" s="2270">
        <f>'Part V-Revenues &amp; Expenses'!H15</f>
        <v>1100</v>
      </c>
      <c r="I453" s="2270">
        <f>'Part V-Revenues &amp; Expenses'!I15</f>
        <v>0</v>
      </c>
      <c r="J453" s="2270">
        <f>'Part V-Revenues &amp; Expenses'!J15</f>
        <v>0</v>
      </c>
      <c r="K453" s="2271">
        <f>'Part V-Revenues &amp; Expenses'!K15</f>
        <v>0</v>
      </c>
      <c r="L453" s="2272">
        <f t="shared" si="1"/>
        <v>1100</v>
      </c>
      <c r="M453" s="2272">
        <f t="shared" si="2"/>
        <v>2200</v>
      </c>
      <c r="N453" s="2141" t="str">
        <f>'Part V-Revenues &amp; Expenses'!N15</f>
        <v>No</v>
      </c>
      <c r="O453" s="965" t="str">
        <f>'Part V-Revenues &amp; Expenses'!O15</f>
        <v>Low-Rise Apt</v>
      </c>
      <c r="P453" s="2141" t="str">
        <f>'Part V-Revenues &amp; Expenses'!P15</f>
        <v>New Construction</v>
      </c>
      <c r="Q453" s="1457" t="str">
        <f>'Part V-Revenues &amp; Expenses'!Q15</f>
        <v>No</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f t="shared" si="41"/>
        <v>2</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f t="shared" si="156"/>
        <v>2252</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f t="shared" si="176"/>
        <v>2</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f t="shared" si="216"/>
        <v>2</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f t="shared" si="261"/>
        <v>2</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2</v>
      </c>
      <c r="MO453" s="1320">
        <f t="shared" si="337"/>
        <v>0</v>
      </c>
      <c r="MP453" s="1320">
        <f t="shared" si="328"/>
        <v>0</v>
      </c>
      <c r="MQ453" s="1320">
        <f t="shared" si="329"/>
        <v>0</v>
      </c>
      <c r="MR453" s="1320">
        <f t="shared" si="330"/>
        <v>0</v>
      </c>
      <c r="MS453" s="1320">
        <f t="shared" si="331"/>
        <v>0</v>
      </c>
      <c r="MT453" s="1320">
        <f t="shared" si="332"/>
        <v>0</v>
      </c>
      <c r="NP453" s="251" t="s">
        <v>1145</v>
      </c>
    </row>
    <row r="454" spans="1:380" ht="14.1"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1146</v>
      </c>
    </row>
    <row r="455" spans="1:380" ht="14.1"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1147</v>
      </c>
    </row>
    <row r="456" spans="1:380" ht="14.1" customHeight="1">
      <c r="A456" s="2248" t="str">
        <f t="shared" si="0"/>
        <v/>
      </c>
      <c r="B456" s="2267">
        <f>'Part V-Revenues &amp; Expenses'!B18</f>
        <v>0</v>
      </c>
      <c r="C456" s="2268">
        <f>'Part V-Revenues &amp; Expenses'!C18</f>
        <v>0</v>
      </c>
      <c r="D456" s="2269">
        <f>'Part V-Revenues &amp; Expenses'!D18</f>
        <v>0</v>
      </c>
      <c r="E456" s="2270">
        <f>'Part V-Revenues &amp; Expenses'!E18</f>
        <v>0</v>
      </c>
      <c r="F456" s="2270">
        <f>'Part V-Revenues &amp; Expenses'!F18</f>
        <v>0</v>
      </c>
      <c r="G456" s="2270">
        <f>'Part V-Revenues &amp; Expenses'!G18</f>
        <v>0</v>
      </c>
      <c r="H456" s="2270">
        <f>'Part V-Revenues &amp; Expenses'!H18</f>
        <v>0</v>
      </c>
      <c r="I456" s="2270">
        <f>'Part V-Revenues &amp; Expenses'!I18</f>
        <v>0</v>
      </c>
      <c r="J456" s="2270">
        <f>'Part V-Revenues &amp; Expenses'!J18</f>
        <v>0</v>
      </c>
      <c r="K456" s="2271">
        <f>'Part V-Revenues &amp; Expenses'!K18</f>
        <v>0</v>
      </c>
      <c r="L456" s="2272">
        <f t="shared" si="1"/>
        <v>0</v>
      </c>
      <c r="M456" s="2272">
        <f t="shared" si="2"/>
        <v>0</v>
      </c>
      <c r="N456" s="2141">
        <f>'Part V-Revenues &amp; Expenses'!N18</f>
        <v>0</v>
      </c>
      <c r="O456" s="965">
        <f>'Part V-Revenues &amp; Expenses'!O18</f>
        <v>0</v>
      </c>
      <c r="P456" s="2141">
        <f>'Part V-Revenues &amp; Expenses'!P18</f>
        <v>0</v>
      </c>
      <c r="Q456" s="1457">
        <f>'Part V-Revenues &amp; Expenses'!Q18</f>
        <v>0</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t="str">
        <f t="shared" si="214"/>
        <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0</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1148</v>
      </c>
    </row>
    <row r="457" spans="1:380" ht="14.1" customHeight="1">
      <c r="A457" s="2248" t="str">
        <f t="shared" si="0"/>
        <v/>
      </c>
      <c r="B457" s="2267">
        <f>'Part V-Revenues &amp; Expenses'!B19</f>
        <v>50</v>
      </c>
      <c r="C457" s="2268">
        <f>'Part V-Revenues &amp; Expenses'!C19</f>
        <v>1</v>
      </c>
      <c r="D457" s="2269">
        <f>'Part V-Revenues &amp; Expenses'!D19</f>
        <v>1</v>
      </c>
      <c r="E457" s="2270">
        <f>'Part V-Revenues &amp; Expenses'!E19</f>
        <v>3</v>
      </c>
      <c r="F457" s="2270">
        <f>'Part V-Revenues &amp; Expenses'!F19</f>
        <v>713</v>
      </c>
      <c r="G457" s="2270">
        <f>'Part V-Revenues &amp; Expenses'!G19</f>
        <v>726</v>
      </c>
      <c r="H457" s="2270">
        <f>'Part V-Revenues &amp; Expenses'!H19</f>
        <v>725</v>
      </c>
      <c r="I457" s="2270">
        <f>'Part V-Revenues &amp; Expenses'!I19</f>
        <v>0</v>
      </c>
      <c r="J457" s="2270">
        <f>'Part V-Revenues &amp; Expenses'!J19</f>
        <v>141</v>
      </c>
      <c r="K457" s="2271">
        <f>'Part V-Revenues &amp; Expenses'!K19</f>
        <v>0</v>
      </c>
      <c r="L457" s="2272">
        <f t="shared" si="1"/>
        <v>584</v>
      </c>
      <c r="M457" s="2272">
        <f t="shared" si="2"/>
        <v>1752</v>
      </c>
      <c r="N457" s="2141" t="str">
        <f>'Part V-Revenues &amp; Expenses'!N19</f>
        <v>No</v>
      </c>
      <c r="O457" s="965" t="str">
        <f>'Part V-Revenues &amp; Expenses'!O19</f>
        <v>Low-Rise Apt</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f t="shared" si="19"/>
        <v>3</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f t="shared" si="134"/>
        <v>2139</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3</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f t="shared" si="214"/>
        <v>3</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f t="shared" si="259"/>
        <v>3</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3</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1149</v>
      </c>
    </row>
    <row r="458" spans="1:380" ht="14.1" customHeight="1">
      <c r="A458" s="2248" t="str">
        <f t="shared" si="0"/>
        <v/>
      </c>
      <c r="B458" s="2267">
        <f>'Part V-Revenues &amp; Expenses'!B20</f>
        <v>60</v>
      </c>
      <c r="C458" s="2268">
        <f>'Part V-Revenues &amp; Expenses'!C20</f>
        <v>1</v>
      </c>
      <c r="D458" s="2269">
        <f>'Part V-Revenues &amp; Expenses'!D20</f>
        <v>1</v>
      </c>
      <c r="E458" s="2270">
        <f>'Part V-Revenues &amp; Expenses'!E20</f>
        <v>18</v>
      </c>
      <c r="F458" s="2270">
        <f>'Part V-Revenues &amp; Expenses'!F20</f>
        <v>713</v>
      </c>
      <c r="G458" s="2270">
        <f>'Part V-Revenues &amp; Expenses'!G20</f>
        <v>871</v>
      </c>
      <c r="H458" s="2270">
        <f>'Part V-Revenues &amp; Expenses'!H20</f>
        <v>870</v>
      </c>
      <c r="I458" s="2270">
        <f>'Part V-Revenues &amp; Expenses'!I20</f>
        <v>0</v>
      </c>
      <c r="J458" s="2270">
        <f>'Part V-Revenues &amp; Expenses'!J20</f>
        <v>141</v>
      </c>
      <c r="K458" s="2271">
        <f>'Part V-Revenues &amp; Expenses'!K20</f>
        <v>0</v>
      </c>
      <c r="L458" s="2272">
        <f t="shared" si="1"/>
        <v>729</v>
      </c>
      <c r="M458" s="2272">
        <f t="shared" si="2"/>
        <v>13122</v>
      </c>
      <c r="N458" s="2141" t="str">
        <f>'Part V-Revenues &amp; Expenses'!N20</f>
        <v>No</v>
      </c>
      <c r="O458" s="965" t="str">
        <f>'Part V-Revenues &amp; Expenses'!O20</f>
        <v>Low-Rise Apt</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f t="shared" si="14"/>
        <v>18</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f t="shared" si="129"/>
        <v>12834</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18</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18</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f t="shared" si="259"/>
        <v>18</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18</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1150</v>
      </c>
    </row>
    <row r="459" spans="1:380" ht="14.1" customHeight="1">
      <c r="A459" s="2248" t="str">
        <f t="shared" si="0"/>
        <v/>
      </c>
      <c r="B459" s="2267">
        <f>'Part V-Revenues &amp; Expenses'!B21</f>
        <v>0</v>
      </c>
      <c r="C459" s="2268">
        <f>'Part V-Revenues &amp; Expenses'!C21</f>
        <v>0</v>
      </c>
      <c r="D459" s="2269">
        <f>'Part V-Revenues &amp; Expenses'!D21</f>
        <v>0</v>
      </c>
      <c r="E459" s="2270">
        <f>'Part V-Revenues &amp; Expenses'!E21</f>
        <v>0</v>
      </c>
      <c r="F459" s="2270">
        <f>'Part V-Revenues &amp; Expenses'!F21</f>
        <v>0</v>
      </c>
      <c r="G459" s="2270">
        <f>'Part V-Revenues &amp; Expenses'!G21</f>
        <v>0</v>
      </c>
      <c r="H459" s="2270">
        <f>'Part V-Revenues &amp; Expenses'!H21</f>
        <v>0</v>
      </c>
      <c r="I459" s="2270">
        <f>'Part V-Revenues &amp; Expenses'!I21</f>
        <v>0</v>
      </c>
      <c r="J459" s="2270">
        <f>'Part V-Revenues &amp; Expenses'!J21</f>
        <v>0</v>
      </c>
      <c r="K459" s="2271">
        <f>'Part V-Revenues &amp; Expenses'!K21</f>
        <v>0</v>
      </c>
      <c r="L459" s="2272">
        <f t="shared" si="1"/>
        <v>0</v>
      </c>
      <c r="M459" s="2272">
        <f t="shared" si="2"/>
        <v>0</v>
      </c>
      <c r="N459" s="2141">
        <f>'Part V-Revenues &amp; Expenses'!N21</f>
        <v>0</v>
      </c>
      <c r="O459" s="965">
        <f>'Part V-Revenues &amp; Expenses'!O21</f>
        <v>0</v>
      </c>
      <c r="P459" s="2141">
        <f>'Part V-Revenues &amp; Expenses'!P21</f>
        <v>0</v>
      </c>
      <c r="Q459" s="1457">
        <f>'Part V-Revenues &amp; Expenses'!Q21</f>
        <v>0</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1151</v>
      </c>
    </row>
    <row r="460" spans="1:380" ht="14.1" customHeight="1">
      <c r="A460" s="2248" t="str">
        <f t="shared" si="0"/>
        <v/>
      </c>
      <c r="B460" s="2267">
        <f>'Part V-Revenues &amp; Expenses'!B22</f>
        <v>50</v>
      </c>
      <c r="C460" s="2268">
        <f>'Part V-Revenues &amp; Expenses'!C22</f>
        <v>2</v>
      </c>
      <c r="D460" s="2269">
        <f>'Part V-Revenues &amp; Expenses'!D22</f>
        <v>2</v>
      </c>
      <c r="E460" s="2270">
        <f>'Part V-Revenues &amp; Expenses'!E22</f>
        <v>7</v>
      </c>
      <c r="F460" s="2270">
        <f>'Part V-Revenues &amp; Expenses'!F22</f>
        <v>984</v>
      </c>
      <c r="G460" s="2270">
        <f>'Part V-Revenues &amp; Expenses'!G22</f>
        <v>871</v>
      </c>
      <c r="H460" s="2270">
        <f>'Part V-Revenues &amp; Expenses'!H22</f>
        <v>871</v>
      </c>
      <c r="I460" s="2270">
        <f>'Part V-Revenues &amp; Expenses'!I22</f>
        <v>0</v>
      </c>
      <c r="J460" s="2270">
        <f>'Part V-Revenues &amp; Expenses'!J22</f>
        <v>171</v>
      </c>
      <c r="K460" s="2271">
        <f>'Part V-Revenues &amp; Expenses'!K22</f>
        <v>0</v>
      </c>
      <c r="L460" s="2272">
        <f t="shared" si="1"/>
        <v>700</v>
      </c>
      <c r="M460" s="2272">
        <f t="shared" si="2"/>
        <v>4900</v>
      </c>
      <c r="N460" s="2141" t="str">
        <f>'Part V-Revenues &amp; Expenses'!N22</f>
        <v>No</v>
      </c>
      <c r="O460" s="965" t="str">
        <f>'Part V-Revenues &amp; Expenses'!O22</f>
        <v>Low-Rise Apt</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f t="shared" si="20"/>
        <v>7</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f t="shared" si="135"/>
        <v>6888</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7</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7</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f t="shared" si="260"/>
        <v>7</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7</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1152</v>
      </c>
    </row>
    <row r="461" spans="1:380" ht="14.1" customHeight="1">
      <c r="A461" s="2248" t="str">
        <f t="shared" si="0"/>
        <v/>
      </c>
      <c r="B461" s="2267">
        <f>'Part V-Revenues &amp; Expenses'!B23</f>
        <v>60</v>
      </c>
      <c r="C461" s="2268">
        <f>'Part V-Revenues &amp; Expenses'!C23</f>
        <v>2</v>
      </c>
      <c r="D461" s="2269">
        <f>'Part V-Revenues &amp; Expenses'!D23</f>
        <v>2</v>
      </c>
      <c r="E461" s="2270">
        <f>'Part V-Revenues &amp; Expenses'!E23</f>
        <v>22</v>
      </c>
      <c r="F461" s="2270">
        <f>'Part V-Revenues &amp; Expenses'!F23</f>
        <v>984</v>
      </c>
      <c r="G461" s="2270">
        <f>'Part V-Revenues &amp; Expenses'!G23</f>
        <v>1045</v>
      </c>
      <c r="H461" s="2270">
        <f>'Part V-Revenues &amp; Expenses'!H23</f>
        <v>1045</v>
      </c>
      <c r="I461" s="2270">
        <f>'Part V-Revenues &amp; Expenses'!I23</f>
        <v>0</v>
      </c>
      <c r="J461" s="2270">
        <f>'Part V-Revenues &amp; Expenses'!J23</f>
        <v>171</v>
      </c>
      <c r="K461" s="2271">
        <f>'Part V-Revenues &amp; Expenses'!K23</f>
        <v>0</v>
      </c>
      <c r="L461" s="2272">
        <f t="shared" si="1"/>
        <v>874</v>
      </c>
      <c r="M461" s="2272">
        <f t="shared" si="2"/>
        <v>19228</v>
      </c>
      <c r="N461" s="2141" t="str">
        <f>'Part V-Revenues &amp; Expenses'!N23</f>
        <v>No</v>
      </c>
      <c r="O461" s="965" t="str">
        <f>'Part V-Revenues &amp; Expenses'!O23</f>
        <v>Low-Rise Apt</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f t="shared" si="15"/>
        <v>22</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f t="shared" si="130"/>
        <v>21648</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22</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f t="shared" si="215"/>
        <v>22</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f t="shared" si="260"/>
        <v>22</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22</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1153</v>
      </c>
    </row>
    <row r="462" spans="1:380" ht="14.1"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1154</v>
      </c>
    </row>
    <row r="463" spans="1:380" ht="14.1" customHeight="1">
      <c r="A463" s="2248" t="str">
        <f t="shared" si="0"/>
        <v/>
      </c>
      <c r="B463" s="2267">
        <f>'Part V-Revenues &amp; Expenses'!B25</f>
        <v>50</v>
      </c>
      <c r="C463" s="2268">
        <f>'Part V-Revenues &amp; Expenses'!C25</f>
        <v>3</v>
      </c>
      <c r="D463" s="2269">
        <f>'Part V-Revenues &amp; Expenses'!D25</f>
        <v>2</v>
      </c>
      <c r="E463" s="2270">
        <f>'Part V-Revenues &amp; Expenses'!E25</f>
        <v>2</v>
      </c>
      <c r="F463" s="2270">
        <f>'Part V-Revenues &amp; Expenses'!F25</f>
        <v>1126</v>
      </c>
      <c r="G463" s="2270">
        <f>'Part V-Revenues &amp; Expenses'!G25</f>
        <v>1006</v>
      </c>
      <c r="H463" s="2270">
        <f>'Part V-Revenues &amp; Expenses'!H25</f>
        <v>1006</v>
      </c>
      <c r="I463" s="2270">
        <f>'Part V-Revenues &amp; Expenses'!I25</f>
        <v>0</v>
      </c>
      <c r="J463" s="2270">
        <f>'Part V-Revenues &amp; Expenses'!J25</f>
        <v>207</v>
      </c>
      <c r="K463" s="2271">
        <f>'Part V-Revenues &amp; Expenses'!K25</f>
        <v>0</v>
      </c>
      <c r="L463" s="2272">
        <f t="shared" si="1"/>
        <v>799</v>
      </c>
      <c r="M463" s="2272">
        <f t="shared" si="2"/>
        <v>1598</v>
      </c>
      <c r="N463" s="2141" t="str">
        <f>'Part V-Revenues &amp; Expenses'!N25</f>
        <v>No</v>
      </c>
      <c r="O463" s="965" t="str">
        <f>'Part V-Revenues &amp; Expenses'!O25</f>
        <v>Low-Rise Apt</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f t="shared" si="21"/>
        <v>2</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f t="shared" si="136"/>
        <v>2252</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f t="shared" si="171"/>
        <v>2</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f t="shared" si="216"/>
        <v>2</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f t="shared" si="261"/>
        <v>2</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2</v>
      </c>
      <c r="MO463" s="1320">
        <f t="shared" si="337"/>
        <v>0</v>
      </c>
      <c r="MP463" s="1320">
        <f t="shared" si="328"/>
        <v>0</v>
      </c>
      <c r="MQ463" s="1320">
        <f t="shared" si="329"/>
        <v>0</v>
      </c>
      <c r="MR463" s="1320">
        <f t="shared" si="330"/>
        <v>0</v>
      </c>
      <c r="MS463" s="1320">
        <f t="shared" si="331"/>
        <v>0</v>
      </c>
      <c r="MT463" s="1320">
        <f t="shared" si="332"/>
        <v>0</v>
      </c>
      <c r="NP463" s="251" t="s">
        <v>1155</v>
      </c>
    </row>
    <row r="464" spans="1:380" ht="14.1" customHeight="1">
      <c r="A464" s="2248" t="str">
        <f t="shared" si="0"/>
        <v/>
      </c>
      <c r="B464" s="2267">
        <f>'Part V-Revenues &amp; Expenses'!B26</f>
        <v>60</v>
      </c>
      <c r="C464" s="2268">
        <f>'Part V-Revenues &amp; Expenses'!C26</f>
        <v>3</v>
      </c>
      <c r="D464" s="2269">
        <f>'Part V-Revenues &amp; Expenses'!D26</f>
        <v>2</v>
      </c>
      <c r="E464" s="2270">
        <f>'Part V-Revenues &amp; Expenses'!E26</f>
        <v>2</v>
      </c>
      <c r="F464" s="2270">
        <f>'Part V-Revenues &amp; Expenses'!F26</f>
        <v>1126</v>
      </c>
      <c r="G464" s="2270">
        <f>'Part V-Revenues &amp; Expenses'!G26</f>
        <v>1207</v>
      </c>
      <c r="H464" s="2270">
        <f>'Part V-Revenues &amp; Expenses'!H26</f>
        <v>1207</v>
      </c>
      <c r="I464" s="2270">
        <f>'Part V-Revenues &amp; Expenses'!I26</f>
        <v>0</v>
      </c>
      <c r="J464" s="2270">
        <f>'Part V-Revenues &amp; Expenses'!J26</f>
        <v>207</v>
      </c>
      <c r="K464" s="2271">
        <f>'Part V-Revenues &amp; Expenses'!K26</f>
        <v>0</v>
      </c>
      <c r="L464" s="2272">
        <f t="shared" si="1"/>
        <v>1000</v>
      </c>
      <c r="M464" s="2272">
        <f t="shared" si="2"/>
        <v>2000</v>
      </c>
      <c r="N464" s="2141" t="str">
        <f>'Part V-Revenues &amp; Expenses'!N26</f>
        <v>No</v>
      </c>
      <c r="O464" s="965" t="str">
        <f>'Part V-Revenues &amp; Expenses'!O26</f>
        <v>Low-Rise Apt</v>
      </c>
      <c r="P464" s="2141" t="str">
        <f>'Part V-Revenues &amp; Expenses'!P26</f>
        <v>New Construction</v>
      </c>
      <c r="Q464" s="1457" t="str">
        <f>'Part V-Revenues &amp; Expenses'!Q26</f>
        <v>No</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f t="shared" si="16"/>
        <v>2</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f t="shared" si="131"/>
        <v>2252</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f t="shared" si="171"/>
        <v>2</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f t="shared" si="216"/>
        <v>2</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f t="shared" si="261"/>
        <v>2</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2</v>
      </c>
      <c r="MO464" s="1320">
        <f t="shared" si="337"/>
        <v>0</v>
      </c>
      <c r="MP464" s="1320">
        <f t="shared" si="328"/>
        <v>0</v>
      </c>
      <c r="MQ464" s="1320">
        <f t="shared" si="329"/>
        <v>0</v>
      </c>
      <c r="MR464" s="1320">
        <f t="shared" si="330"/>
        <v>0</v>
      </c>
      <c r="MS464" s="1320">
        <f t="shared" si="331"/>
        <v>0</v>
      </c>
      <c r="MT464" s="1320">
        <f t="shared" si="332"/>
        <v>0</v>
      </c>
      <c r="NP464" s="251" t="s">
        <v>1156</v>
      </c>
    </row>
    <row r="465" spans="1:380" ht="14.1"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1157</v>
      </c>
    </row>
    <row r="466" spans="1:380" ht="14.1"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1158</v>
      </c>
    </row>
    <row r="467" spans="1:380" ht="14.1"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1159</v>
      </c>
    </row>
    <row r="468" spans="1:380" ht="14.1"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1160</v>
      </c>
    </row>
    <row r="469" spans="1:380" ht="14.1"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1161</v>
      </c>
    </row>
    <row r="470" spans="1:380" ht="14.1"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1162</v>
      </c>
    </row>
    <row r="471" spans="1:380" ht="14.1"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1163</v>
      </c>
    </row>
    <row r="472" spans="1:380" ht="14.1"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1164</v>
      </c>
    </row>
    <row r="473" spans="1:380" ht="14.1"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1165</v>
      </c>
    </row>
    <row r="474" spans="1:380" ht="14.1"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1166</v>
      </c>
    </row>
    <row r="475" spans="1:380" ht="14.1"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1167</v>
      </c>
    </row>
    <row r="476" spans="1:380" ht="14.1"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1168</v>
      </c>
    </row>
    <row r="477" spans="1:380" ht="14.1"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1169</v>
      </c>
    </row>
    <row r="478" spans="1:380" ht="14.1"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1170</v>
      </c>
    </row>
    <row r="479" spans="1:380" ht="14.1"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1171</v>
      </c>
    </row>
    <row r="480" spans="1:380" ht="14.1"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1172</v>
      </c>
    </row>
    <row r="481" spans="1:380" ht="14.1"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1173</v>
      </c>
    </row>
    <row r="482" spans="1:380" ht="14.1"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1174</v>
      </c>
    </row>
    <row r="483" spans="1:380" ht="14.1"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1175</v>
      </c>
    </row>
    <row r="484" spans="1:380" ht="14.1"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1176</v>
      </c>
    </row>
    <row r="485" spans="1:380" ht="14.1"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1177</v>
      </c>
    </row>
    <row r="486" spans="1:380" ht="14.1"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1178</v>
      </c>
    </row>
    <row r="487" spans="1:380" ht="14.1" customHeight="1">
      <c r="A487" s="2248">
        <f>COUNT(A449,A450,A451,A452,A453,A454,A455,A456,A457,A458,A459,A460,A461,A462,A463,A464,A465,A466,A467,A468,A469,A470,A471,A472,A473,A474,A475,A476,A477,A478)</f>
        <v>0</v>
      </c>
      <c r="B487" s="2276" t="s">
        <v>1179</v>
      </c>
      <c r="C487" s="2276"/>
      <c r="D487" s="2277" t="s">
        <v>1180</v>
      </c>
      <c r="E487" s="2278">
        <f>SUM(E449:E486)</f>
        <v>60</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53659</v>
      </c>
      <c r="H487" s="2280" t="s">
        <v>1181</v>
      </c>
      <c r="I487" s="2281" t="s">
        <v>1182</v>
      </c>
      <c r="J487" s="2282" t="str">
        <f>IF(P505=0,"",IF(SUM(P496:P500)/P505&gt;=0.4,"Pass","Fail"))</f>
        <v>Pass</v>
      </c>
      <c r="K487" s="257"/>
      <c r="L487" s="2283" t="s">
        <v>1183</v>
      </c>
      <c r="M487" s="2284">
        <f>SUM(M449:M486)</f>
        <v>48200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18</v>
      </c>
      <c r="AJ487" s="1321">
        <f t="shared" si="338"/>
        <v>22</v>
      </c>
      <c r="AK487" s="1321">
        <f t="shared" si="338"/>
        <v>2</v>
      </c>
      <c r="AL487" s="1321">
        <f t="shared" si="338"/>
        <v>0</v>
      </c>
      <c r="AM487" s="1321">
        <f>SUM(AM449:AM486)</f>
        <v>0</v>
      </c>
      <c r="AN487" s="1321">
        <f>SUM(AN449:AN486)</f>
        <v>3</v>
      </c>
      <c r="AO487" s="1321">
        <f>SUM(AO449:AO486)</f>
        <v>7</v>
      </c>
      <c r="AP487" s="1321">
        <f>SUM(AP449:AP486)</f>
        <v>2</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2</v>
      </c>
      <c r="BI487" s="1321">
        <f t="shared" si="338"/>
        <v>2</v>
      </c>
      <c r="BJ487" s="1321">
        <f t="shared" si="338"/>
        <v>2</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12834</v>
      </c>
      <c r="EU487" s="1321">
        <f t="shared" si="338"/>
        <v>21648</v>
      </c>
      <c r="EV487" s="1321">
        <f t="shared" si="338"/>
        <v>2252</v>
      </c>
      <c r="EW487" s="1321">
        <f t="shared" si="338"/>
        <v>0</v>
      </c>
      <c r="EX487" s="1321">
        <f t="shared" si="338"/>
        <v>0</v>
      </c>
      <c r="EY487" s="1321">
        <f t="shared" si="338"/>
        <v>2139</v>
      </c>
      <c r="EZ487" s="1321">
        <f t="shared" si="338"/>
        <v>6888</v>
      </c>
      <c r="FA487" s="1321">
        <f t="shared" si="338"/>
        <v>2252</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1426</v>
      </c>
      <c r="FT487" s="1321">
        <f t="shared" si="340"/>
        <v>1968</v>
      </c>
      <c r="FU487" s="1321">
        <f t="shared" si="340"/>
        <v>2252</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21</v>
      </c>
      <c r="GI487" s="1321">
        <f t="shared" si="340"/>
        <v>29</v>
      </c>
      <c r="GJ487" s="1321">
        <f t="shared" si="340"/>
        <v>4</v>
      </c>
      <c r="GK487" s="1321">
        <f t="shared" si="340"/>
        <v>0</v>
      </c>
      <c r="GL487" s="1321">
        <f t="shared" si="340"/>
        <v>0</v>
      </c>
      <c r="GM487" s="1321">
        <f t="shared" si="340"/>
        <v>2</v>
      </c>
      <c r="GN487" s="1321">
        <f t="shared" si="340"/>
        <v>2</v>
      </c>
      <c r="GO487" s="1321">
        <f t="shared" si="340"/>
        <v>2</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23</v>
      </c>
      <c r="IB487" s="1321">
        <f t="shared" si="341"/>
        <v>31</v>
      </c>
      <c r="IC487" s="1321">
        <f t="shared" si="341"/>
        <v>6</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23</v>
      </c>
      <c r="JU487" s="1321">
        <f t="shared" si="341"/>
        <v>31</v>
      </c>
      <c r="JV487" s="1321">
        <f t="shared" si="341"/>
        <v>6</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23</v>
      </c>
      <c r="MM487" s="1321">
        <f t="shared" si="343"/>
        <v>31</v>
      </c>
      <c r="MN487" s="1321">
        <f t="shared" si="343"/>
        <v>6</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1184</v>
      </c>
    </row>
    <row r="488" spans="1:380" ht="14.1"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57.777777777777779</v>
      </c>
      <c r="C488" s="2285"/>
      <c r="D488" s="2248" t="s">
        <v>1185</v>
      </c>
      <c r="E488" s="2278">
        <f>SUM(E456:E486)</f>
        <v>54</v>
      </c>
      <c r="F488" s="2279">
        <f>(E456*F456+E457*F457+E458*F458+E459*F459+E460*F460+E461*F461+E462*F462+E463*F463+E464*F464+E465*F465+E466*F466+E467*F467+E468*F468+E469*F469+E470*F470+E471*F471+E472*F472+E473*F473+E474*F474+E475*F475+E476*F476+E477*F477+E478*F478+E479*F479+E480*F480+E481*F481+E482*F482+E483*F483+E484*F484+E485*F485+E486*F486)</f>
        <v>48013</v>
      </c>
      <c r="H488" s="2280"/>
      <c r="I488" s="2281" t="s">
        <v>1186</v>
      </c>
      <c r="J488" s="2282" t="str">
        <f>IF(P505=0,"",IF(SUM(P497:P500)/P505&gt;=0.2,"Pass","Fail"))</f>
        <v>Pass</v>
      </c>
      <c r="K488" s="257"/>
      <c r="L488" s="2277" t="s">
        <v>1187</v>
      </c>
      <c r="M488" s="2284">
        <f>M487*12</f>
        <v>578400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1188</v>
      </c>
    </row>
    <row r="489" spans="1:380" ht="6.95" customHeight="1">
      <c r="A489" s="2164" t="s">
        <v>2252</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85" customHeight="1">
      <c r="A491" s="255" t="s">
        <v>25</v>
      </c>
      <c r="B491" s="255" t="s">
        <v>1190</v>
      </c>
      <c r="K491" s="2286" t="s">
        <v>1191</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1193</v>
      </c>
      <c r="O492" s="2103" t="str">
        <f>'Part V-Revenues &amp; Expenses'!O54</f>
        <v>&lt;&lt; Select &gt;&gt;</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85" customHeight="1">
      <c r="A493" s="255"/>
      <c r="B493" s="255" t="s">
        <v>1195</v>
      </c>
      <c r="H493" s="251" t="s">
        <v>1196</v>
      </c>
      <c r="K493" s="2287" t="s">
        <v>784</v>
      </c>
      <c r="L493" s="1459" t="s">
        <v>1197</v>
      </c>
      <c r="M493" s="1459" t="s">
        <v>1198</v>
      </c>
      <c r="N493" s="1459" t="s">
        <v>1199</v>
      </c>
      <c r="O493" s="1459" t="s">
        <v>1200</v>
      </c>
      <c r="P493" s="1459" t="s">
        <v>301</v>
      </c>
      <c r="S493" s="255" t="s">
        <v>806</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1201</v>
      </c>
      <c r="B494" s="2288"/>
      <c r="C494" s="253" t="s">
        <v>1202</v>
      </c>
      <c r="D494" s="253"/>
      <c r="E494" s="253"/>
      <c r="F494" s="253"/>
      <c r="H494" s="1108" t="s">
        <v>1203</v>
      </c>
      <c r="I494" s="256"/>
      <c r="K494" s="2289">
        <f>X487</f>
        <v>0</v>
      </c>
      <c r="L494" s="2289">
        <f>Y487</f>
        <v>0</v>
      </c>
      <c r="M494" s="2289">
        <f>Z487</f>
        <v>0</v>
      </c>
      <c r="N494" s="2289">
        <f>AA487</f>
        <v>0</v>
      </c>
      <c r="O494" s="2289">
        <f>AB487</f>
        <v>0</v>
      </c>
      <c r="P494" s="2289">
        <f t="shared" ref="P494:P505" si="344">SUM(K494:O494)</f>
        <v>0</v>
      </c>
      <c r="Q494" s="2109" t="s">
        <v>1204</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1205</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1206</v>
      </c>
      <c r="I496" s="256"/>
      <c r="K496" s="2289">
        <f>AH487</f>
        <v>0</v>
      </c>
      <c r="L496" s="2289">
        <f>AI487</f>
        <v>18</v>
      </c>
      <c r="M496" s="2289">
        <f>AJ487</f>
        <v>22</v>
      </c>
      <c r="N496" s="2289">
        <f>AK487</f>
        <v>2</v>
      </c>
      <c r="O496" s="2289">
        <f>AL487</f>
        <v>0</v>
      </c>
      <c r="P496" s="2289">
        <f t="shared" si="344"/>
        <v>42</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1207</v>
      </c>
      <c r="I497" s="256"/>
      <c r="K497" s="2289">
        <f>AM487</f>
        <v>0</v>
      </c>
      <c r="L497" s="2289">
        <f>AN487</f>
        <v>3</v>
      </c>
      <c r="M497" s="2289">
        <f>AO487</f>
        <v>7</v>
      </c>
      <c r="N497" s="2289">
        <f>AP487</f>
        <v>2</v>
      </c>
      <c r="O497" s="2289">
        <f>AQ487</f>
        <v>0</v>
      </c>
      <c r="P497" s="2289">
        <f t="shared" si="344"/>
        <v>12</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1208</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1209</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1210</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1211</v>
      </c>
      <c r="D501" s="253"/>
      <c r="E501" s="253"/>
      <c r="F501" s="253"/>
      <c r="H501" s="254"/>
      <c r="I501" s="613"/>
      <c r="K501" s="2289">
        <f>SUM(K494:K500)</f>
        <v>0</v>
      </c>
      <c r="L501" s="2289">
        <f>SUM(L494:L500)</f>
        <v>21</v>
      </c>
      <c r="M501" s="2289">
        <f>SUM(M494:M500)</f>
        <v>29</v>
      </c>
      <c r="N501" s="2289">
        <f>SUM(N494:N500)</f>
        <v>4</v>
      </c>
      <c r="O501" s="2289">
        <f>SUM(O494:O500)</f>
        <v>0</v>
      </c>
      <c r="P501" s="2289">
        <f t="shared" si="344"/>
        <v>54</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1141</v>
      </c>
      <c r="I502" s="256"/>
      <c r="K502" s="2289">
        <f>BG487</f>
        <v>0</v>
      </c>
      <c r="L502" s="2289">
        <f>BH487</f>
        <v>2</v>
      </c>
      <c r="M502" s="2289">
        <f>BI487</f>
        <v>2</v>
      </c>
      <c r="N502" s="2289">
        <f>BJ487</f>
        <v>2</v>
      </c>
      <c r="O502" s="2289">
        <f>BK487</f>
        <v>0</v>
      </c>
      <c r="P502" s="2289">
        <f t="shared" si="344"/>
        <v>6</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1212</v>
      </c>
      <c r="D503" s="2290"/>
      <c r="E503" s="2290"/>
      <c r="F503" s="2290"/>
      <c r="G503" s="2291"/>
      <c r="H503" s="2292"/>
      <c r="I503" s="2293"/>
      <c r="J503" s="2291"/>
      <c r="K503" s="2294">
        <f>SUM(K501:K502)</f>
        <v>0</v>
      </c>
      <c r="L503" s="2294">
        <f>SUM(L501:L502)</f>
        <v>23</v>
      </c>
      <c r="M503" s="2294">
        <f>SUM(M501:M502)</f>
        <v>31</v>
      </c>
      <c r="N503" s="2294">
        <f>SUM(N501:N502)</f>
        <v>6</v>
      </c>
      <c r="O503" s="2294">
        <f>SUM(O501:O502)</f>
        <v>0</v>
      </c>
      <c r="P503" s="2294">
        <f t="shared" si="344"/>
        <v>60</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1213</v>
      </c>
      <c r="I504" s="256"/>
      <c r="K504" s="2289">
        <f>ED487</f>
        <v>0</v>
      </c>
      <c r="L504" s="2289">
        <f>EE487</f>
        <v>0</v>
      </c>
      <c r="M504" s="2289">
        <f>EF487</f>
        <v>0</v>
      </c>
      <c r="N504" s="2289">
        <f>EG487</f>
        <v>0</v>
      </c>
      <c r="O504" s="2289">
        <f>EH487</f>
        <v>0</v>
      </c>
      <c r="P504" s="2289">
        <f t="shared" si="344"/>
        <v>0</v>
      </c>
      <c r="Q504" s="2109" t="s">
        <v>1214</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1215</v>
      </c>
      <c r="D505" s="253"/>
      <c r="E505" s="253"/>
      <c r="F505" s="253"/>
      <c r="H505" s="1108"/>
      <c r="I505" s="256"/>
      <c r="K505" s="2295">
        <f>SUM(K503:K504)</f>
        <v>0</v>
      </c>
      <c r="L505" s="2295">
        <f>SUM(L503:L504)</f>
        <v>23</v>
      </c>
      <c r="M505" s="2295">
        <f>SUM(M503:M504)</f>
        <v>31</v>
      </c>
      <c r="N505" s="2295">
        <f>SUM(N503:N504)</f>
        <v>6</v>
      </c>
      <c r="O505" s="2295">
        <f>SUM(O503:O504)</f>
        <v>0</v>
      </c>
      <c r="P505" s="2295">
        <f t="shared" si="344"/>
        <v>60</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350000000000001"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1216</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35" customHeight="1">
      <c r="A508" s="2288"/>
      <c r="B508" s="2288"/>
      <c r="C508" s="2296"/>
      <c r="D508" s="2296"/>
      <c r="E508" s="2296"/>
      <c r="F508" s="2296"/>
      <c r="H508" s="1108" t="s">
        <v>1203</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1217</v>
      </c>
      <c r="S508" s="2275"/>
      <c r="T508" s="2275"/>
      <c r="U508" s="2275"/>
      <c r="V508" s="2275"/>
      <c r="W508" s="2275"/>
    </row>
    <row r="509" spans="1:343">
      <c r="A509" s="2288"/>
      <c r="B509" s="2288"/>
      <c r="C509" s="253"/>
      <c r="H509" s="1108" t="s">
        <v>2253</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2254</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2255</v>
      </c>
      <c r="E511" s="253"/>
      <c r="F511" s="253"/>
      <c r="H511" s="1108" t="s">
        <v>1205</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2253</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2254</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1221</v>
      </c>
      <c r="D514" s="253"/>
      <c r="E514" s="253"/>
      <c r="F514" s="253"/>
      <c r="H514" s="1108" t="s">
        <v>1206</v>
      </c>
      <c r="I514" s="256"/>
      <c r="J514" s="253"/>
      <c r="K514" s="2298" t="str">
        <f t="shared" ref="K514:P514" si="349">IF(OR(K496=0,K505=0),"",K496/K505)</f>
        <v/>
      </c>
      <c r="L514" s="2298">
        <f t="shared" si="349"/>
        <v>0.78260869565217395</v>
      </c>
      <c r="M514" s="2298">
        <f t="shared" si="349"/>
        <v>0.70967741935483875</v>
      </c>
      <c r="N514" s="2298">
        <f t="shared" si="349"/>
        <v>0.33333333333333331</v>
      </c>
      <c r="O514" s="2298" t="str">
        <f t="shared" si="349"/>
        <v/>
      </c>
      <c r="P514" s="2298">
        <f t="shared" si="349"/>
        <v>0.7</v>
      </c>
      <c r="S514" s="2275"/>
      <c r="T514" s="2275"/>
      <c r="U514" s="2275"/>
      <c r="V514" s="2275"/>
      <c r="W514" s="2275"/>
    </row>
    <row r="515" spans="3:23" ht="15.75" customHeight="1">
      <c r="C515" s="255"/>
      <c r="D515" s="253"/>
      <c r="E515" s="253"/>
      <c r="F515" s="253"/>
      <c r="H515" s="1108" t="s">
        <v>2253</v>
      </c>
      <c r="I515" s="256"/>
      <c r="J515" s="253"/>
      <c r="K515" s="2299" t="str">
        <f>IF(OR(K496=0,P514="",K505=0),"",P514*K505)</f>
        <v/>
      </c>
      <c r="L515" s="2299">
        <f>IF(OR(L496=0,P514="",L505=0),"",P514*L505)</f>
        <v>16.099999999999998</v>
      </c>
      <c r="M515" s="2299">
        <f>IF(OR(M496=0,P514="",M505=0),"",P514*M505)</f>
        <v>21.7</v>
      </c>
      <c r="N515" s="2299">
        <f>IF(OR(N496=0,P514="",N505=0),"",P514*N505)</f>
        <v>4.1999999999999993</v>
      </c>
      <c r="O515" s="2299" t="str">
        <f>IF(OR(O496=0,P514="",O505=0),"",P514*O505)</f>
        <v/>
      </c>
      <c r="P515" s="2299">
        <f>IF(OR(P514="",P505=0),"",P514*P505)</f>
        <v>42</v>
      </c>
      <c r="S515" s="2275"/>
      <c r="T515" s="2275"/>
      <c r="U515" s="2275"/>
      <c r="V515" s="2275"/>
      <c r="W515" s="2275"/>
    </row>
    <row r="516" spans="3:23" ht="15.75" customHeight="1">
      <c r="C516" s="255"/>
      <c r="D516" s="253"/>
      <c r="E516" s="253"/>
      <c r="F516" s="253"/>
      <c r="G516" s="2281"/>
      <c r="H516" s="1108" t="s">
        <v>2254</v>
      </c>
      <c r="I516" s="256"/>
      <c r="J516" s="253"/>
      <c r="K516" s="2299" t="str">
        <f t="shared" ref="K516:P516" si="350">IF(OR(K515="",K496=0),"", K496-K515)</f>
        <v/>
      </c>
      <c r="L516" s="2299">
        <f t="shared" si="350"/>
        <v>1.9000000000000021</v>
      </c>
      <c r="M516" s="2299">
        <f t="shared" si="350"/>
        <v>0.30000000000000071</v>
      </c>
      <c r="N516" s="2299">
        <f t="shared" si="350"/>
        <v>-2.1999999999999993</v>
      </c>
      <c r="O516" s="2299" t="str">
        <f t="shared" si="350"/>
        <v/>
      </c>
      <c r="P516" s="2299">
        <f t="shared" si="350"/>
        <v>0</v>
      </c>
    </row>
    <row r="517" spans="3:23">
      <c r="C517" s="255" t="s">
        <v>1221</v>
      </c>
      <c r="D517" s="255"/>
      <c r="E517" s="255"/>
      <c r="H517" s="1108" t="s">
        <v>1207</v>
      </c>
      <c r="I517" s="256"/>
      <c r="J517" s="253"/>
      <c r="K517" s="2298" t="str">
        <f t="shared" ref="K517:P517" si="351">IF(OR(K497=0,K505=0),"",K497/K505)</f>
        <v/>
      </c>
      <c r="L517" s="2298">
        <f t="shared" si="351"/>
        <v>0.13043478260869565</v>
      </c>
      <c r="M517" s="2298">
        <f t="shared" si="351"/>
        <v>0.22580645161290322</v>
      </c>
      <c r="N517" s="2298">
        <f t="shared" si="351"/>
        <v>0.33333333333333331</v>
      </c>
      <c r="O517" s="2298" t="str">
        <f t="shared" si="351"/>
        <v/>
      </c>
      <c r="P517" s="2298">
        <f t="shared" si="351"/>
        <v>0.2</v>
      </c>
    </row>
    <row r="518" spans="3:23">
      <c r="C518" s="255"/>
      <c r="D518" s="255"/>
      <c r="E518" s="255"/>
      <c r="H518" s="1108" t="s">
        <v>2253</v>
      </c>
      <c r="I518" s="256"/>
      <c r="J518" s="253"/>
      <c r="K518" s="2299" t="str">
        <f>IF(OR(K497=0,P517="",K505=0),"",P517*K505)</f>
        <v/>
      </c>
      <c r="L518" s="2299">
        <f>IF(OR(L497=0,P517="",L505=0),"",P517*L505)</f>
        <v>4.6000000000000005</v>
      </c>
      <c r="M518" s="2299">
        <f>IF(OR(M497=0,P517="",M505=0),"",P517*M505)</f>
        <v>6.2</v>
      </c>
      <c r="N518" s="2299">
        <f>IF(OR(N497=0,P517="",N505=0),"",P517*N505)</f>
        <v>1.2000000000000002</v>
      </c>
      <c r="O518" s="2299" t="str">
        <f>IF(OR(O497=0,P517="",O505=0),"",P517*O505)</f>
        <v/>
      </c>
      <c r="P518" s="2299">
        <f>IF(OR(P517="",P505=0),"",P517*P505)</f>
        <v>12</v>
      </c>
    </row>
    <row r="519" spans="3:23">
      <c r="C519" s="255"/>
      <c r="D519" s="255"/>
      <c r="E519" s="255"/>
      <c r="G519" s="2281"/>
      <c r="H519" s="1108" t="s">
        <v>2254</v>
      </c>
      <c r="I519" s="256"/>
      <c r="J519" s="253"/>
      <c r="K519" s="2299" t="str">
        <f t="shared" ref="K519:P519" si="352">IF(OR(K518="",K497=0),"", K497-K518)</f>
        <v/>
      </c>
      <c r="L519" s="2299">
        <f t="shared" si="352"/>
        <v>-1.6000000000000005</v>
      </c>
      <c r="M519" s="2299">
        <f t="shared" si="352"/>
        <v>0.79999999999999982</v>
      </c>
      <c r="N519" s="2299">
        <f t="shared" si="352"/>
        <v>0.79999999999999982</v>
      </c>
      <c r="O519" s="2299" t="str">
        <f t="shared" si="352"/>
        <v/>
      </c>
      <c r="P519" s="2299">
        <f t="shared" si="352"/>
        <v>0</v>
      </c>
    </row>
    <row r="520" spans="3:23">
      <c r="C520" s="255" t="s">
        <v>1221</v>
      </c>
      <c r="D520" s="255"/>
      <c r="E520" s="255"/>
      <c r="H520" s="1108" t="s">
        <v>1208</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2253</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2254</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1221</v>
      </c>
      <c r="H523" s="1108" t="s">
        <v>1209</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2253</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2254</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1221</v>
      </c>
      <c r="H526" s="1108" t="s">
        <v>1210</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2253</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2254</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1222</v>
      </c>
      <c r="D531" s="253"/>
      <c r="E531" s="1108"/>
      <c r="F531" s="253"/>
      <c r="H531" s="1108" t="s">
        <v>1203</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1223</v>
      </c>
      <c r="D532" s="253"/>
      <c r="E532" s="1108"/>
      <c r="F532" s="253"/>
      <c r="H532" s="1108" t="s">
        <v>1205</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1206</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1207</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1208</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1209</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1210</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301</v>
      </c>
      <c r="I538" s="2276"/>
      <c r="K538" s="2295">
        <f>SUM(K531:K537)</f>
        <v>0</v>
      </c>
      <c r="L538" s="2295">
        <f>SUM(L531:L537)</f>
        <v>0</v>
      </c>
      <c r="M538" s="2295">
        <f>SUM(M531:M537)</f>
        <v>0</v>
      </c>
      <c r="N538" s="2295">
        <f>SUM(N531:N537)</f>
        <v>0</v>
      </c>
      <c r="O538" s="2295">
        <f>SUM(O531:O537)</f>
        <v>0</v>
      </c>
      <c r="P538" s="2295">
        <f t="shared" si="359"/>
        <v>0</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25"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85" customHeight="1">
      <c r="A540" s="255" t="s">
        <v>25</v>
      </c>
      <c r="B540" s="255" t="s">
        <v>2256</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1225</v>
      </c>
      <c r="D542" s="2275"/>
      <c r="E542" s="2275"/>
      <c r="F542" s="253"/>
      <c r="H542" s="1108" t="s">
        <v>1203</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1223</v>
      </c>
      <c r="D543" s="2275"/>
      <c r="E543" s="2275"/>
      <c r="F543" s="253"/>
      <c r="H543" s="1108" t="s">
        <v>1205</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1206</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1207</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1208</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1209</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1210</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301</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1226</v>
      </c>
      <c r="D551" s="2275"/>
      <c r="E551" s="1108" t="s">
        <v>1227</v>
      </c>
      <c r="F551" s="253"/>
      <c r="H551" s="1108" t="s">
        <v>1228</v>
      </c>
      <c r="I551" s="256"/>
      <c r="K551" s="2289">
        <f>GG487</f>
        <v>0</v>
      </c>
      <c r="L551" s="2289">
        <f>GH487</f>
        <v>21</v>
      </c>
      <c r="M551" s="2289">
        <f>GI487</f>
        <v>29</v>
      </c>
      <c r="N551" s="2289">
        <f>GJ487</f>
        <v>4</v>
      </c>
      <c r="O551" s="2289">
        <f>GK487</f>
        <v>0</v>
      </c>
      <c r="P551" s="2289">
        <f t="shared" ref="P551:P561" si="361">SUM(K551:O551)</f>
        <v>54</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1141</v>
      </c>
      <c r="I552" s="256"/>
      <c r="K552" s="2289">
        <f>GL487</f>
        <v>0</v>
      </c>
      <c r="L552" s="2289">
        <f>GM487</f>
        <v>2</v>
      </c>
      <c r="M552" s="2289">
        <f>GN487</f>
        <v>2</v>
      </c>
      <c r="N552" s="2289">
        <f>GO487</f>
        <v>2</v>
      </c>
      <c r="O552" s="2289">
        <f>GP487</f>
        <v>0</v>
      </c>
      <c r="P552" s="2289">
        <f t="shared" si="361"/>
        <v>6</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1229</v>
      </c>
      <c r="I553" s="2158" t="s">
        <v>1230</v>
      </c>
      <c r="J553" s="2303">
        <f>IF($P$67=0,0,P553/$P$67)</f>
        <v>0</v>
      </c>
      <c r="K553" s="2295">
        <f>SUM(K551:K552)+GQ487</f>
        <v>0</v>
      </c>
      <c r="L553" s="2295">
        <f>SUM(L551:L552)+GR487</f>
        <v>23</v>
      </c>
      <c r="M553" s="2295">
        <f>SUM(M551:M552)+GS487</f>
        <v>31</v>
      </c>
      <c r="N553" s="2295">
        <f>SUM(N551:N552)+GT487</f>
        <v>6</v>
      </c>
      <c r="O553" s="2295">
        <f>SUM(O551:O552)+GU487</f>
        <v>0</v>
      </c>
      <c r="P553" s="2295">
        <f t="shared" si="361"/>
        <v>60</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1231</v>
      </c>
      <c r="F554" s="253"/>
      <c r="H554" s="1108" t="s">
        <v>1228</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1141</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1229</v>
      </c>
      <c r="I556" s="2158" t="s">
        <v>1230</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1232</v>
      </c>
      <c r="F557" s="2249"/>
      <c r="H557" s="1108" t="s">
        <v>1228</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1141</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1229</v>
      </c>
      <c r="I559" s="2158" t="s">
        <v>1230</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1233</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2257</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1235</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1236</v>
      </c>
      <c r="D565" s="2275"/>
      <c r="E565" s="1108" t="s">
        <v>1237</v>
      </c>
      <c r="F565" s="253"/>
      <c r="G565" s="2109"/>
      <c r="H565" s="254"/>
      <c r="K565" s="2305" t="str">
        <f>'Part V-Revenues &amp; Expenses'!K127</f>
        <v>Yes</v>
      </c>
      <c r="L565" s="253" t="s">
        <v>1238</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1239</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2258</v>
      </c>
      <c r="D569" s="2275"/>
      <c r="E569" s="1108" t="s">
        <v>665</v>
      </c>
      <c r="F569" s="253"/>
      <c r="G569" s="2109"/>
      <c r="H569" s="254"/>
      <c r="K569" s="2295">
        <f t="shared" ref="K569:P569" si="362">SUM(K570:K577)</f>
        <v>0</v>
      </c>
      <c r="L569" s="2295">
        <f t="shared" si="362"/>
        <v>23</v>
      </c>
      <c r="M569" s="2295">
        <f t="shared" si="362"/>
        <v>31</v>
      </c>
      <c r="N569" s="2295">
        <f t="shared" si="362"/>
        <v>6</v>
      </c>
      <c r="O569" s="2295">
        <f t="shared" si="362"/>
        <v>0</v>
      </c>
      <c r="P569" s="2295">
        <f t="shared" si="362"/>
        <v>60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777</v>
      </c>
      <c r="I570" s="1440"/>
      <c r="K570" s="2289">
        <f>JS487</f>
        <v>0</v>
      </c>
      <c r="L570" s="2289">
        <f>JT487</f>
        <v>23</v>
      </c>
      <c r="M570" s="2289">
        <f>JU487</f>
        <v>31</v>
      </c>
      <c r="N570" s="2289">
        <f>JV487</f>
        <v>6</v>
      </c>
      <c r="O570" s="2289">
        <f>JW487</f>
        <v>0</v>
      </c>
      <c r="P570" s="2289">
        <f t="shared" ref="P570:P585" si="363">SUM(K570:O570)</f>
        <v>60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1235</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1241</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1235</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1242</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1235</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1243</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1235</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1244</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1235</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667</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1235</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658</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1235</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1245</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1235</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85" customHeight="1">
      <c r="A587" s="255" t="s">
        <v>25</v>
      </c>
      <c r="B587" s="255" t="s">
        <v>2256</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2259</v>
      </c>
      <c r="D589" s="2275"/>
      <c r="E589" s="1108" t="s">
        <v>1247</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1235</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1248</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1235</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1249</v>
      </c>
      <c r="F593" s="2109"/>
      <c r="H593" s="2306"/>
      <c r="I593" s="1440"/>
      <c r="K593" s="2289">
        <f t="shared" ref="K593:O596" si="367">K570+K574</f>
        <v>0</v>
      </c>
      <c r="L593" s="2289">
        <f t="shared" si="367"/>
        <v>23</v>
      </c>
      <c r="M593" s="2289">
        <f t="shared" si="367"/>
        <v>31</v>
      </c>
      <c r="N593" s="2289">
        <f t="shared" si="367"/>
        <v>6</v>
      </c>
      <c r="O593" s="2289">
        <f t="shared" si="367"/>
        <v>0</v>
      </c>
      <c r="P593" s="2295">
        <f t="shared" si="365"/>
        <v>60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1235</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1250</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1235</v>
      </c>
      <c r="I596" s="2308"/>
      <c r="K596" s="2294">
        <f t="shared" si="367"/>
        <v>0</v>
      </c>
      <c r="L596" s="2294">
        <f t="shared" si="367"/>
        <v>0</v>
      </c>
      <c r="M596" s="2294">
        <f t="shared" si="367"/>
        <v>0</v>
      </c>
      <c r="N596" s="2294">
        <f t="shared" si="367"/>
        <v>0</v>
      </c>
      <c r="O596" s="2294">
        <f t="shared" si="367"/>
        <v>0</v>
      </c>
      <c r="P596" s="2310">
        <f t="shared" si="365"/>
        <v>0</v>
      </c>
      <c r="Q596" s="251" t="s">
        <v>2260</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1252</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1253</v>
      </c>
      <c r="D599" s="253"/>
      <c r="E599" s="253"/>
      <c r="F599" s="253"/>
      <c r="H599" s="254" t="s">
        <v>1203</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1205</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1206</v>
      </c>
      <c r="I601" s="1440"/>
      <c r="K601" s="2314">
        <f>ES487</f>
        <v>0</v>
      </c>
      <c r="L601" s="2314">
        <f>ET487</f>
        <v>12834</v>
      </c>
      <c r="M601" s="2314">
        <f>EU487</f>
        <v>21648</v>
      </c>
      <c r="N601" s="2314">
        <f>EV487</f>
        <v>2252</v>
      </c>
      <c r="O601" s="2314">
        <f>EW487</f>
        <v>0</v>
      </c>
      <c r="P601" s="2314">
        <f t="shared" si="368"/>
        <v>36734</v>
      </c>
      <c r="Q601" s="2299">
        <f>'Part V-Revenues &amp; Expenses'!Q163</f>
        <v>874.61904761904759</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1207</v>
      </c>
      <c r="I602" s="1440"/>
      <c r="K602" s="2314">
        <f>EX487</f>
        <v>0</v>
      </c>
      <c r="L602" s="2314">
        <f>EY487</f>
        <v>2139</v>
      </c>
      <c r="M602" s="2314">
        <f>EZ487</f>
        <v>6888</v>
      </c>
      <c r="N602" s="2314">
        <f>FA487</f>
        <v>2252</v>
      </c>
      <c r="O602" s="2314">
        <f>FB487</f>
        <v>0</v>
      </c>
      <c r="P602" s="2314">
        <f t="shared" si="368"/>
        <v>11279</v>
      </c>
      <c r="Q602" s="2299">
        <f>'Part V-Revenues &amp; Expenses'!Q164</f>
        <v>939.91666666666663</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1208</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1209</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1210</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1254</v>
      </c>
      <c r="I606" s="2308"/>
      <c r="J606" s="2291"/>
      <c r="K606" s="2315">
        <f>SUM(K599:K605)</f>
        <v>0</v>
      </c>
      <c r="L606" s="2315">
        <f>SUM(L599:L605)</f>
        <v>14973</v>
      </c>
      <c r="M606" s="2315">
        <f>SUM(M599:M605)</f>
        <v>28536</v>
      </c>
      <c r="N606" s="2315">
        <f>SUM(N599:N605)</f>
        <v>4504</v>
      </c>
      <c r="O606" s="2315">
        <f>SUM(O599:O605)</f>
        <v>0</v>
      </c>
      <c r="P606" s="2315">
        <f>SUM(K606:O606)</f>
        <v>48013</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1141</v>
      </c>
      <c r="D607" s="253"/>
      <c r="E607" s="253"/>
      <c r="F607" s="253"/>
      <c r="G607" s="253"/>
      <c r="K607" s="2314">
        <f>FR487</f>
        <v>0</v>
      </c>
      <c r="L607" s="2314">
        <f>FS487</f>
        <v>1426</v>
      </c>
      <c r="M607" s="2314">
        <f>FT487</f>
        <v>1968</v>
      </c>
      <c r="N607" s="2314">
        <f>FU487</f>
        <v>2252</v>
      </c>
      <c r="O607" s="2314">
        <f>FV487</f>
        <v>0</v>
      </c>
      <c r="P607" s="2314">
        <f>SUM(K607:O607)</f>
        <v>5646</v>
      </c>
      <c r="Q607" s="2299">
        <f>'Part V-Revenues &amp; Expenses'!Q169</f>
        <v>941</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1212</v>
      </c>
      <c r="D608" s="2290"/>
      <c r="E608" s="2290"/>
      <c r="F608" s="2290"/>
      <c r="G608" s="2290"/>
      <c r="H608" s="2291"/>
      <c r="I608" s="2291"/>
      <c r="J608" s="2291"/>
      <c r="K608" s="2317">
        <f>SUM(K606:K607)</f>
        <v>0</v>
      </c>
      <c r="L608" s="2317">
        <f>SUM(L606:L607)</f>
        <v>16399</v>
      </c>
      <c r="M608" s="2317">
        <f>SUM(M606:M607)</f>
        <v>30504</v>
      </c>
      <c r="N608" s="2317">
        <f>SUM(N606:N607)</f>
        <v>6756</v>
      </c>
      <c r="O608" s="2317">
        <f>SUM(O606:O607)</f>
        <v>0</v>
      </c>
      <c r="P608" s="2317">
        <f>SUM(K608:O608)</f>
        <v>53659</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1213</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301</v>
      </c>
      <c r="D610" s="253"/>
      <c r="E610" s="253"/>
      <c r="F610" s="253"/>
      <c r="G610" s="253"/>
      <c r="K610" s="2318">
        <f>SUM(K608:K609)</f>
        <v>0</v>
      </c>
      <c r="L610" s="2318">
        <f>SUM(L608:L609)</f>
        <v>16399</v>
      </c>
      <c r="M610" s="2318">
        <f>SUM(M608:M609)</f>
        <v>30504</v>
      </c>
      <c r="N610" s="2318">
        <f>SUM(N608:N609)</f>
        <v>6756</v>
      </c>
      <c r="O610" s="2318">
        <f>SUM(O608:O609)</f>
        <v>0</v>
      </c>
      <c r="P610" s="2318">
        <f>SUM(K610:O610)</f>
        <v>53659</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25"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25"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2261</v>
      </c>
      <c r="K613" s="2319" t="str">
        <f>'Part V-Revenues &amp; Expenses'!K175</f>
        <v/>
      </c>
      <c r="L613" s="2319">
        <f>'Part V-Revenues &amp; Expenses'!L175</f>
        <v>713</v>
      </c>
      <c r="M613" s="2319">
        <f>'Part V-Revenues &amp; Expenses'!M175</f>
        <v>984</v>
      </c>
      <c r="N613" s="2319">
        <f>'Part V-Revenues &amp; Expenses'!N175</f>
        <v>1126</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25"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25" customHeight="1">
      <c r="A615" s="255" t="s">
        <v>32</v>
      </c>
      <c r="B615" s="255" t="s">
        <v>1256</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2262</v>
      </c>
      <c r="K616" s="2134">
        <f>'Part V-Revenues &amp; Expenses'!K178</f>
        <v>2000</v>
      </c>
      <c r="L616" s="2134"/>
      <c r="Z616" s="1204">
        <v>68</v>
      </c>
    </row>
    <row r="617" spans="1:380" s="1382" customFormat="1" ht="13.5" customHeight="1">
      <c r="A617" s="2104"/>
      <c r="C617" s="271" t="s">
        <v>1258</v>
      </c>
      <c r="K617" s="2134">
        <f>P610+K616</f>
        <v>55659</v>
      </c>
      <c r="L617" s="2134"/>
      <c r="Z617" s="1204">
        <v>69</v>
      </c>
    </row>
    <row r="618" spans="1:380" s="253" customFormat="1" ht="14.25"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25" customHeight="1">
      <c r="A619" s="255" t="s">
        <v>52</v>
      </c>
      <c r="B619" s="255" t="s">
        <v>2263</v>
      </c>
      <c r="S619" s="255" t="s">
        <v>806</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75" customHeight="1">
      <c r="B621" s="1215" t="s">
        <v>1260</v>
      </c>
      <c r="C621" s="1108"/>
      <c r="D621" s="1108"/>
      <c r="E621" s="1108"/>
      <c r="F621" s="1108"/>
      <c r="G621" s="1108"/>
      <c r="H621" s="2321">
        <f>'Part V-Revenues &amp; Expenses'!H183</f>
        <v>11568</v>
      </c>
      <c r="I621" s="2321"/>
      <c r="J621" s="2306" t="s">
        <v>2264</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75"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75" customHeight="1">
      <c r="B623" s="2252" t="s">
        <v>1262</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75" customHeight="1">
      <c r="B624" s="2324" t="s">
        <v>1263</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75" customHeight="1">
      <c r="B625" s="1108" t="s">
        <v>1264</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75" customHeight="1">
      <c r="B626" s="1108" t="s">
        <v>447</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75" customHeight="1">
      <c r="B627" s="1108"/>
      <c r="C627" s="1108" t="s">
        <v>1265</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75" customHeight="1">
      <c r="B628" s="2324" t="s">
        <v>2265</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75" customHeight="1">
      <c r="B629" s="1108" t="s">
        <v>1267</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75" customHeight="1">
      <c r="B630" s="1108" t="s">
        <v>447</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75" customHeight="1">
      <c r="B631" s="1108"/>
      <c r="C631" s="1108" t="s">
        <v>2266</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75"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75" customHeight="1">
      <c r="B633" s="2324" t="s">
        <v>1263</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1269</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75" customHeight="1">
      <c r="B634" s="1108" t="s">
        <v>1264</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75" customHeight="1">
      <c r="B635" s="1108" t="s">
        <v>447</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75" customHeight="1">
      <c r="B636" s="1108"/>
      <c r="C636" s="1108" t="s">
        <v>1265</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75" customHeight="1">
      <c r="B637" s="2324" t="s">
        <v>2265</v>
      </c>
      <c r="C637" s="254"/>
      <c r="D637" s="254"/>
      <c r="E637" s="254"/>
      <c r="F637" s="254"/>
      <c r="H637" s="2329"/>
      <c r="I637" s="254"/>
      <c r="J637" s="254"/>
      <c r="K637" s="254"/>
      <c r="L637" s="254"/>
      <c r="M637" s="254"/>
      <c r="N637" s="254"/>
      <c r="O637" s="254"/>
      <c r="P637" s="254"/>
      <c r="Q637" s="254"/>
      <c r="S637" s="253" t="str">
        <f>B637</f>
        <v>NOT Included in Mgt Fee:</v>
      </c>
    </row>
    <row r="638" spans="2:380" ht="15.75" customHeight="1">
      <c r="B638" s="1108" t="s">
        <v>1267</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75" customHeight="1">
      <c r="B639" s="1108" t="s">
        <v>447</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75" customHeight="1">
      <c r="B640" s="1108"/>
      <c r="C640" s="1108" t="s">
        <v>2266</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75" customHeight="1">
      <c r="B641" s="2252"/>
      <c r="C641" s="254"/>
      <c r="D641" s="254"/>
      <c r="E641" s="254"/>
      <c r="F641" s="254"/>
      <c r="H641" s="2329"/>
      <c r="I641" s="254"/>
      <c r="J641" s="254"/>
      <c r="K641" s="254"/>
      <c r="L641" s="254"/>
      <c r="M641" s="254"/>
      <c r="N641" s="254"/>
      <c r="O641" s="254"/>
      <c r="P641" s="254"/>
      <c r="Q641" s="254"/>
    </row>
    <row r="642" spans="2:343" ht="15.75" customHeight="1">
      <c r="B642" s="2324" t="s">
        <v>1263</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1270</v>
      </c>
      <c r="T642" s="253" t="str">
        <f>B642</f>
        <v>Included in Mgt Fee:</v>
      </c>
    </row>
    <row r="643" spans="2:343" ht="15.75" customHeight="1">
      <c r="B643" s="1108" t="s">
        <v>1264</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75" customHeight="1">
      <c r="B644" s="1108" t="s">
        <v>447</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75" customHeight="1">
      <c r="B645" s="1108"/>
      <c r="C645" s="1108" t="s">
        <v>1265</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75" customHeight="1">
      <c r="B646" s="2324" t="s">
        <v>2265</v>
      </c>
      <c r="C646" s="254"/>
      <c r="D646" s="254"/>
      <c r="E646" s="254"/>
      <c r="F646" s="254"/>
      <c r="H646" s="2329"/>
      <c r="I646" s="254"/>
      <c r="J646" s="254"/>
      <c r="K646" s="254"/>
      <c r="L646" s="254"/>
      <c r="M646" s="254"/>
      <c r="N646" s="254"/>
      <c r="O646" s="254"/>
      <c r="P646" s="254"/>
      <c r="Q646" s="254"/>
      <c r="S646" s="253" t="str">
        <f>B646</f>
        <v>NOT Included in Mgt Fee:</v>
      </c>
    </row>
    <row r="647" spans="2:343" ht="15.75" customHeight="1">
      <c r="B647" s="1108" t="s">
        <v>1267</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75" customHeight="1">
      <c r="B648" s="1108" t="s">
        <v>447</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75" customHeight="1">
      <c r="B649" s="1108"/>
      <c r="C649" s="1108" t="s">
        <v>2266</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75"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75" customHeight="1">
      <c r="B651" s="2324" t="s">
        <v>1263</v>
      </c>
      <c r="C651" s="254"/>
      <c r="D651" s="254"/>
      <c r="E651" s="254"/>
      <c r="F651" s="254"/>
      <c r="H651" s="2325">
        <v>31</v>
      </c>
      <c r="I651" s="2325">
        <v>32</v>
      </c>
      <c r="J651" s="2325">
        <v>33</v>
      </c>
      <c r="K651" s="2325">
        <v>34</v>
      </c>
      <c r="L651" s="2325">
        <v>35</v>
      </c>
      <c r="M651" s="254"/>
      <c r="N651" s="254"/>
      <c r="O651" s="254"/>
      <c r="P651" s="254"/>
      <c r="Q651" s="254"/>
      <c r="S651" s="2277" t="s">
        <v>1270</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75" customHeight="1">
      <c r="B652" s="1108" t="s">
        <v>1264</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75" customHeight="1">
      <c r="B653" s="1108" t="s">
        <v>447</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75" customHeight="1">
      <c r="B654" s="1108"/>
      <c r="C654" s="1108" t="s">
        <v>1265</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75" customHeight="1">
      <c r="B655" s="2324" t="s">
        <v>2265</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75" customHeight="1">
      <c r="B656" s="1108" t="s">
        <v>1267</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75" customHeight="1">
      <c r="B657" s="1108" t="s">
        <v>447</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75" customHeight="1">
      <c r="B658" s="1108"/>
      <c r="C658" s="1108" t="s">
        <v>2266</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70</v>
      </c>
      <c r="B660" s="2331" t="s">
        <v>1271</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806</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1272</v>
      </c>
      <c r="F662" s="251"/>
      <c r="G662" s="251"/>
      <c r="I662" s="1319" t="s">
        <v>1273</v>
      </c>
      <c r="O662" s="1319" t="s">
        <v>1274</v>
      </c>
      <c r="Q662" s="2333">
        <f>IF(OR('Part VI-Pro Forma'!$B$22 = "Choose Mgt Fee",'Part VI-Pro Forma'!$B$22 = "Choose One!"), 0,- 'Part VI-Pro Forma'!$B$22)</f>
        <v>27434</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1275</v>
      </c>
      <c r="F663" s="2314">
        <f>'Part V-Revenues &amp; Expenses'!F225</f>
        <v>46000</v>
      </c>
      <c r="G663" s="2314"/>
      <c r="I663" s="253" t="s">
        <v>1276</v>
      </c>
      <c r="L663" s="2314">
        <f>'Part V-Revenues &amp; Expenses'!L225</f>
        <v>0</v>
      </c>
      <c r="M663" s="2314"/>
      <c r="O663" s="2334">
        <f>+Q662/(P505*0.93)</f>
        <v>491.6487455197132</v>
      </c>
      <c r="P663" s="2293" t="s">
        <v>1277</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1278</v>
      </c>
      <c r="F664" s="2314">
        <f>'Part V-Revenues &amp; Expenses'!F226</f>
        <v>39000</v>
      </c>
      <c r="G664" s="2314"/>
      <c r="I664" s="253" t="s">
        <v>1279</v>
      </c>
      <c r="L664" s="2314">
        <f>'Part V-Revenues &amp; Expenses'!L226</f>
        <v>3468</v>
      </c>
      <c r="M664" s="2314"/>
      <c r="O664" s="2334">
        <f>+Q662/(P505*0.93)/12</f>
        <v>40.970728793309434</v>
      </c>
      <c r="P664" s="2293" t="s">
        <v>1280</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1281</v>
      </c>
      <c r="F665" s="2314">
        <f>'Part V-Revenues &amp; Expenses'!F227</f>
        <v>0</v>
      </c>
      <c r="G665" s="2314"/>
      <c r="K665" s="2335" t="s">
        <v>547</v>
      </c>
      <c r="L665" s="2314">
        <f>SUM(L663:M664)</f>
        <v>3468</v>
      </c>
      <c r="M665" s="2314"/>
      <c r="O665" s="256" t="s">
        <v>1282</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1283</v>
      </c>
      <c r="F666" s="2314">
        <f>'Part V-Revenues &amp; Expenses'!F228</f>
        <v>6000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1284</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taxes, insurance, bonus</v>
      </c>
      <c r="C668" s="256"/>
      <c r="D668" s="256"/>
      <c r="E668" s="256"/>
      <c r="F668" s="2314">
        <f>'Part V-Revenues &amp; Expenses'!F230</f>
        <v>17000</v>
      </c>
      <c r="G668" s="2314"/>
      <c r="I668" s="1319" t="s">
        <v>1286</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547</v>
      </c>
      <c r="F669" s="2314">
        <f>SUM(F663:G668)</f>
        <v>108000</v>
      </c>
      <c r="G669" s="2314"/>
      <c r="I669" s="253" t="s">
        <v>1287</v>
      </c>
      <c r="L669" s="2314">
        <f>'Part V-Revenues &amp; Expenses'!L231</f>
        <v>2500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622</v>
      </c>
      <c r="L670" s="2314">
        <f>'Part V-Revenues &amp; Expenses'!L232</f>
        <v>10000</v>
      </c>
      <c r="M670" s="2314"/>
      <c r="N670" s="1215" t="str">
        <f>IF(Q672="","",IF(Q670&lt;Q672, "WARNING! OE below required minimum.",""))</f>
        <v/>
      </c>
      <c r="O670" s="1319" t="s">
        <v>1288</v>
      </c>
      <c r="Q670" s="2319">
        <f>F669+F678+F689+L665+L673+L683+L689+Q662</f>
        <v>302664</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1289</v>
      </c>
      <c r="D671" s="2305"/>
      <c r="I671" s="253" t="s">
        <v>1290</v>
      </c>
      <c r="L671" s="2314">
        <f>'Part V-Revenues &amp; Expenses'!L233</f>
        <v>1000</v>
      </c>
      <c r="M671" s="2314"/>
      <c r="N671" s="1215"/>
      <c r="O671" s="2293" t="s">
        <v>1291</v>
      </c>
      <c r="P671" s="2334">
        <f>+Q670/P505</f>
        <v>5044.3999999999996</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1292</v>
      </c>
    </row>
    <row r="672" spans="1:380" s="253" customFormat="1" ht="16.5" customHeight="1">
      <c r="B672" s="253" t="s">
        <v>1293</v>
      </c>
      <c r="D672" s="2305"/>
      <c r="F672" s="2314">
        <f>'Part V-Revenues &amp; Expenses'!F234</f>
        <v>950</v>
      </c>
      <c r="G672" s="2314"/>
      <c r="I672" s="2337" t="str">
        <f>'Part V-Revenues &amp; Expenses'!I234</f>
        <v>Other (describe here)</v>
      </c>
      <c r="J672" s="2337"/>
      <c r="K672" s="2337"/>
      <c r="L672" s="2314">
        <f>'Part V-Revenues &amp; Expenses'!L234</f>
        <v>0</v>
      </c>
      <c r="M672" s="2314"/>
      <c r="N672" s="1215"/>
      <c r="P672" s="2293" t="s">
        <v>1295</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1296</v>
      </c>
      <c r="D673" s="2305"/>
      <c r="F673" s="2314">
        <f>'Part V-Revenues &amp; Expenses'!F235</f>
        <v>2900</v>
      </c>
      <c r="G673" s="2314"/>
      <c r="I673" s="1319"/>
      <c r="K673" s="2335" t="s">
        <v>547</v>
      </c>
      <c r="L673" s="2319">
        <f>SUM(L669:L672)</f>
        <v>13500</v>
      </c>
      <c r="M673" s="2319"/>
      <c r="N673" s="1215"/>
      <c r="O673" s="2338" t="s">
        <v>1297</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1298</v>
      </c>
      <c r="D674" s="2305"/>
      <c r="F674" s="2314">
        <f>'Part V-Revenues &amp; Expenses'!F236</f>
        <v>600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1299</v>
      </c>
      <c r="D675" s="2305"/>
      <c r="F675" s="2314">
        <f>'Part V-Revenues &amp; Expenses'!F237</f>
        <v>3600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1300</v>
      </c>
    </row>
    <row r="676" spans="2:380" s="253" customFormat="1" ht="16.5" customHeight="1">
      <c r="B676" s="253" t="s">
        <v>1301</v>
      </c>
      <c r="D676" s="2305"/>
      <c r="F676" s="2314">
        <f>'Part V-Revenues &amp; Expenses'!F238</f>
        <v>1400</v>
      </c>
      <c r="G676" s="2314"/>
      <c r="I676" s="1319" t="s">
        <v>1302</v>
      </c>
      <c r="K676" s="1204" t="s">
        <v>1303</v>
      </c>
      <c r="O676" s="1319" t="s">
        <v>1304</v>
      </c>
      <c r="P676" s="1319"/>
      <c r="Q676" s="2339">
        <f>Q685</f>
        <v>18000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training</v>
      </c>
      <c r="C677" s="256"/>
      <c r="D677" s="256"/>
      <c r="E677" s="256"/>
      <c r="F677" s="2314">
        <f>'Part V-Revenues &amp; Expenses'!F239</f>
        <v>800</v>
      </c>
      <c r="G677" s="2314"/>
      <c r="I677" s="253" t="s">
        <v>1306</v>
      </c>
      <c r="K677" s="2199">
        <f>L677/12/P505</f>
        <v>20</v>
      </c>
      <c r="L677" s="2314">
        <f>'Part V-Revenues &amp; Expenses'!L239</f>
        <v>14400</v>
      </c>
      <c r="M677" s="2314"/>
      <c r="N677" s="1215" t="str">
        <f>IF(Q676&lt;Q685, "WARNING! RR proposed is below the DCA required minimum.","")</f>
        <v/>
      </c>
      <c r="O677" s="256" t="s">
        <v>1307</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547</v>
      </c>
      <c r="F678" s="2314">
        <f>SUM(F672:G677)</f>
        <v>10250</v>
      </c>
      <c r="G678" s="2314"/>
      <c r="I678" s="253" t="s">
        <v>1308</v>
      </c>
      <c r="K678" s="2199">
        <f>L678/12/P505</f>
        <v>0</v>
      </c>
      <c r="L678" s="2314">
        <f>'Part V-Revenues &amp; Expenses'!L240</f>
        <v>0</v>
      </c>
      <c r="M678" s="2314"/>
      <c r="N678" s="1215"/>
      <c r="O678" s="2341" t="s">
        <v>1309</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1310</v>
      </c>
      <c r="K679" s="2199">
        <f>L679/12/P505</f>
        <v>25</v>
      </c>
      <c r="L679" s="2314">
        <f>'Part V-Revenues &amp; Expenses'!L241</f>
        <v>18000</v>
      </c>
      <c r="M679" s="2314"/>
      <c r="N679" s="1215"/>
      <c r="O679" s="2342" t="s">
        <v>1311</v>
      </c>
      <c r="P679" s="2343" t="s">
        <v>1312</v>
      </c>
      <c r="Q679" s="2343" t="s">
        <v>1313</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619</v>
      </c>
    </row>
    <row r="680" spans="2:380" s="253" customFormat="1" ht="16.5" customHeight="1">
      <c r="B680" s="1319" t="s">
        <v>1314</v>
      </c>
      <c r="D680" s="2305"/>
      <c r="I680" s="253" t="s">
        <v>1315</v>
      </c>
      <c r="K680" s="2199">
        <f>L680/12/P505</f>
        <v>16.666666666666668</v>
      </c>
      <c r="L680" s="2314">
        <f>'Part V-Revenues &amp; Expenses'!L242</f>
        <v>12000</v>
      </c>
      <c r="M680" s="2314"/>
      <c r="N680" s="1215"/>
      <c r="O680" s="296" t="s">
        <v>665</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1316</v>
      </c>
      <c r="D681" s="2305"/>
      <c r="F681" s="2314">
        <f>'Part V-Revenues &amp; Expenses'!F243</f>
        <v>12000</v>
      </c>
      <c r="G681" s="2314"/>
      <c r="I681" s="253" t="s">
        <v>2267</v>
      </c>
      <c r="K681" s="2199">
        <f>L681/12/P505</f>
        <v>0</v>
      </c>
      <c r="L681" s="2314">
        <f>'Part V-Revenues &amp; Expenses'!L243</f>
        <v>0</v>
      </c>
      <c r="M681" s="2314"/>
      <c r="N681" s="1215"/>
      <c r="O681" s="2109" t="s">
        <v>1318</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1319</v>
      </c>
      <c r="D682" s="2305"/>
      <c r="F682" s="2314">
        <f>'Part V-Revenues &amp; Expenses'!F244</f>
        <v>7000</v>
      </c>
      <c r="G682" s="2314"/>
      <c r="I682" s="2337" t="str">
        <f>'Part V-Revenues &amp; Expenses'!I244</f>
        <v>Other (describe here)</v>
      </c>
      <c r="J682" s="2337"/>
      <c r="K682" s="2199">
        <f>L682/12/P505</f>
        <v>0</v>
      </c>
      <c r="L682" s="2314">
        <f>'Part V-Revenues &amp; Expenses'!L244</f>
        <v>0</v>
      </c>
      <c r="M682" s="2314"/>
      <c r="N682" s="1215"/>
      <c r="O682" s="2109" t="s">
        <v>1320</v>
      </c>
      <c r="P682" s="2344" t="str">
        <f>CONCATENATE(SUM(MK487:MO487)," units x $",'DCA Underwriting Assumptions'!$Q$42," =")</f>
        <v>60 units x $300 =</v>
      </c>
      <c r="Q682" s="2344">
        <f>SUM(MK487:MO487)*'DCA Underwriting Assumptions'!$Q$42</f>
        <v>18000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1321</v>
      </c>
      <c r="D683" s="2305"/>
      <c r="F683" s="2314">
        <f>'Part V-Revenues &amp; Expenses'!F245</f>
        <v>10000</v>
      </c>
      <c r="G683" s="2314"/>
      <c r="K683" s="2335" t="s">
        <v>547</v>
      </c>
      <c r="L683" s="2319">
        <f>SUM(L677:L682)</f>
        <v>44400</v>
      </c>
      <c r="M683" s="2319"/>
      <c r="N683" s="1215"/>
      <c r="O683" s="2164" t="s">
        <v>1322</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1323</v>
      </c>
      <c r="D684" s="2305"/>
      <c r="F684" s="2314">
        <f>'Part V-Revenues &amp; Expenses'!F246</f>
        <v>3000</v>
      </c>
      <c r="G684" s="2314"/>
      <c r="O684" s="2164" t="s">
        <v>1324</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1325</v>
      </c>
    </row>
    <row r="685" spans="2:380" s="253" customFormat="1" ht="16.5" customHeight="1">
      <c r="B685" s="253" t="s">
        <v>1326</v>
      </c>
      <c r="D685" s="2305"/>
      <c r="F685" s="2314">
        <f>'Part V-Revenues &amp; Expenses'!F247</f>
        <v>3600</v>
      </c>
      <c r="G685" s="2314"/>
      <c r="I685" s="1319" t="s">
        <v>1327</v>
      </c>
      <c r="O685" s="2283" t="s">
        <v>1328</v>
      </c>
      <c r="P685" s="2273">
        <f>SUM(MF487:MJ487)+SUM(MK487:MO487)+SUM(MP487:MT487)+P563</f>
        <v>60</v>
      </c>
      <c r="Q685" s="2345">
        <f>SUM(Q681:Q684)</f>
        <v>18000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1329</v>
      </c>
      <c r="D686" s="2305"/>
      <c r="F686" s="2314">
        <f>'Part V-Revenues &amp; Expenses'!F248</f>
        <v>0</v>
      </c>
      <c r="G686" s="2314"/>
      <c r="I686" s="253" t="s">
        <v>2268</v>
      </c>
      <c r="L686" s="2314">
        <f>'Part V-Revenues &amp; Expenses'!L248</f>
        <v>15732</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1331</v>
      </c>
      <c r="D687" s="2305"/>
      <c r="F687" s="2314">
        <f>'Part V-Revenues &amp; Expenses'!F249</f>
        <v>11880</v>
      </c>
      <c r="G687" s="2314"/>
      <c r="I687" s="253" t="s">
        <v>1332</v>
      </c>
      <c r="L687" s="2314">
        <f>'Part V-Revenues &amp; Expenses'!L249</f>
        <v>32400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1333</v>
      </c>
    </row>
    <row r="689" spans="1:380" s="253" customFormat="1" ht="16.5" customHeight="1">
      <c r="B689" s="1319"/>
      <c r="E689" s="2335" t="s">
        <v>547</v>
      </c>
      <c r="F689" s="2314">
        <f>SUM(F681:G688)</f>
        <v>47480</v>
      </c>
      <c r="G689" s="2314"/>
      <c r="K689" s="2335" t="s">
        <v>547</v>
      </c>
      <c r="L689" s="2319">
        <f>SUM(L685:L688)</f>
        <v>48132</v>
      </c>
      <c r="M689" s="2319"/>
      <c r="O689" s="1319" t="s">
        <v>1334</v>
      </c>
      <c r="Q689" s="2319">
        <f>Q670+Q676</f>
        <v>320664</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75"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1335</v>
      </c>
      <c r="B693" s="1319" t="s">
        <v>1336</v>
      </c>
      <c r="C693" s="2335"/>
      <c r="H693" s="2289"/>
      <c r="I693" s="2346" t="s">
        <v>1337</v>
      </c>
      <c r="K693" s="2319">
        <f>'Part V-Revenues &amp; Expenses'!K255</f>
        <v>0</v>
      </c>
      <c r="L693" s="2319"/>
      <c r="M693" s="2336" t="s">
        <v>1338</v>
      </c>
      <c r="N693" s="2299">
        <f>'Part V-Revenues &amp; Expenses'!N255</f>
        <v>0</v>
      </c>
      <c r="O693" s="1319" t="s">
        <v>1339</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1340</v>
      </c>
      <c r="C695" s="2335"/>
      <c r="F695" s="2289"/>
      <c r="G695" s="2289"/>
      <c r="J695" s="1456" t="str">
        <f>'Part V-Revenues &amp; Expenses'!J257</f>
        <v>&lt;&lt;Select&gt;&gt;</v>
      </c>
      <c r="K695" s="2346" t="s">
        <v>1341</v>
      </c>
      <c r="L695" s="1456" t="str">
        <f>'Part V-Revenues &amp; Expenses'!L257</f>
        <v>&lt;&lt;Select&gt;&gt;</v>
      </c>
      <c r="M695" s="1456" t="s">
        <v>1342</v>
      </c>
      <c r="N695" s="2299">
        <f>'Part V-Revenues &amp; Expenses'!N257</f>
        <v>0</v>
      </c>
      <c r="O695" s="253" t="s">
        <v>1343</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1344</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1345</v>
      </c>
      <c r="B697" s="255" t="s">
        <v>80</v>
      </c>
      <c r="N697" s="255" t="s">
        <v>1346</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 xml:space="preserve">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third party professional company provided spreadsheet and verified from county website estimate.  See Tab 08 Readiness Subfolder Tab 01, Feasibility.
Insurance expense provided by insurance company. See Tab 08 Readiness Subfolder Tab 01, Feasibility.
Enriched property services provider cost associated with CORES 3rd Party Contractor are included in the On-Site Staff Costs above and estimated by management company.
Rents were determined by a market study and compared to max 2024 rents for the Fannin County, (effective as of April 1, 2024). The utility allowances and rents utilized are the most current in effect as of application date per the QAP.
</v>
      </c>
      <c r="B698" s="2119"/>
      <c r="C698" s="2119"/>
      <c r="D698" s="2119"/>
      <c r="E698" s="2119"/>
      <c r="F698" s="2119"/>
      <c r="G698" s="2119"/>
      <c r="H698" s="2119"/>
      <c r="I698" s="2119"/>
      <c r="J698" s="2119"/>
      <c r="K698" s="2119"/>
      <c r="L698" s="2119"/>
      <c r="M698" s="2119"/>
      <c r="N698" s="2119"/>
      <c r="O698" s="2119"/>
      <c r="P698" s="2119"/>
      <c r="Q698" s="2119"/>
      <c r="R698" s="2347" t="s">
        <v>1348</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Abbington Blue Ridge, ,  County</v>
      </c>
    </row>
    <row r="703" spans="1:380">
      <c r="A703" s="255"/>
      <c r="B703" s="255"/>
      <c r="C703" s="255"/>
      <c r="D703" s="255"/>
      <c r="E703" s="255"/>
      <c r="F703" s="255"/>
      <c r="G703" s="255"/>
      <c r="H703" s="255"/>
      <c r="I703" s="255"/>
      <c r="J703" s="255"/>
      <c r="K703" s="255"/>
    </row>
    <row r="704" spans="1:380" ht="12.95" customHeight="1">
      <c r="A704" s="255" t="s">
        <v>1359</v>
      </c>
      <c r="C704" s="2348" t="str">
        <f>'Part I-Project Identification'!$A$6</f>
        <v>2024 May 7</v>
      </c>
      <c r="D704" s="255" t="s">
        <v>1360</v>
      </c>
      <c r="E704" s="2248"/>
      <c r="F704" s="2107" t="s">
        <v>2269</v>
      </c>
    </row>
    <row r="705" spans="1:11">
      <c r="C705" s="1215"/>
    </row>
    <row r="706" spans="1:11" ht="12.75" customHeight="1">
      <c r="A706" s="251" t="s">
        <v>1362</v>
      </c>
      <c r="B706" s="2349">
        <f>'DCA Underwriting Assumptions'!$Q$114</f>
        <v>0.02</v>
      </c>
      <c r="C706" s="1215"/>
      <c r="D706" s="2275" t="s">
        <v>2270</v>
      </c>
      <c r="E706" s="2275"/>
      <c r="F706" s="2275"/>
      <c r="G706" s="2350">
        <f>'Part VI-Pro Forma'!G6</f>
        <v>9000</v>
      </c>
      <c r="H706" s="2312" t="s">
        <v>1364</v>
      </c>
      <c r="K706" s="2351" t="e">
        <f>IF(($B$15+$B$16+$B$17+$B$18)=0,"",B731/($B$15+$B$16+$B$17+$B$18))</f>
        <v>#VALUE!</v>
      </c>
    </row>
    <row r="707" spans="1:11">
      <c r="A707" s="251" t="s">
        <v>1365</v>
      </c>
      <c r="B707" s="2349">
        <f>'DCA Underwriting Assumptions'!$Q$117</f>
        <v>0.03</v>
      </c>
      <c r="C707" s="1215"/>
      <c r="D707" s="2275"/>
      <c r="E707" s="2275"/>
      <c r="F707" s="2275"/>
      <c r="G707" s="2352">
        <f>IF(OR('Part II-Sources of Funds'!E623="Yes",'Part II-Sources of Funds'!I623&gt;0),'DCA Underwriting Assumptions'!$Q$79,0)</f>
        <v>0</v>
      </c>
    </row>
    <row r="708" spans="1:11">
      <c r="A708" s="251" t="s">
        <v>1366</v>
      </c>
      <c r="B708" s="2349">
        <f>'DCA Underwriting Assumptions'!$Q$118</f>
        <v>0.03</v>
      </c>
      <c r="C708" s="1215"/>
      <c r="D708" s="253" t="s">
        <v>1367</v>
      </c>
      <c r="G708" s="2353"/>
      <c r="H708" s="2312" t="s">
        <v>1368</v>
      </c>
      <c r="K708" s="2351" t="e">
        <f>IF(($B$15+$B$16+$B$17+$B$18)=0,"",-B722/($B$15+$B$16+$B$17+$B$18))</f>
        <v>#VALUE!</v>
      </c>
    </row>
    <row r="709" spans="1:11">
      <c r="A709" s="251" t="s">
        <v>1369</v>
      </c>
      <c r="B709" s="2349">
        <f>'Part VI-Pro Forma'!B9</f>
        <v>7.0000000000000007E-2</v>
      </c>
      <c r="C709" s="2104" t="str">
        <f>IF(B709&lt;0.07, "Must be &gt;= 7%!","")</f>
        <v/>
      </c>
      <c r="D709" s="253" t="s">
        <v>1370</v>
      </c>
      <c r="G709" s="2354">
        <f>'Part VI-Pro Forma'!G9</f>
        <v>0</v>
      </c>
      <c r="H709" s="2355" t="s">
        <v>1371</v>
      </c>
      <c r="K709" s="2356">
        <f>'Part VI-Pro Forma'!K9</f>
        <v>0</v>
      </c>
    </row>
    <row r="710" spans="1:11">
      <c r="A710" s="251" t="s">
        <v>1372</v>
      </c>
      <c r="B710" s="2349">
        <v>0.02</v>
      </c>
      <c r="D710" s="253" t="s">
        <v>1373</v>
      </c>
      <c r="G710" s="2354" t="str">
        <f>'Part VI-Pro Forma'!G10</f>
        <v>Yes</v>
      </c>
      <c r="H710" s="2355" t="s">
        <v>1374</v>
      </c>
      <c r="K710" s="2357">
        <f>'Part VI-Pro Forma'!K10</f>
        <v>0.05</v>
      </c>
    </row>
    <row r="712" spans="1:11">
      <c r="A712" s="255" t="s">
        <v>1375</v>
      </c>
      <c r="D712" s="2331"/>
    </row>
    <row r="714" spans="1:11">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1377</v>
      </c>
      <c r="B715" s="2358">
        <f>'Part V-Revenues &amp; Expenses'!$M$50</f>
        <v>578400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1260</v>
      </c>
      <c r="B716" s="2358">
        <f>MIN(B715*B710,'Part V-Revenues &amp; Expenses'!$H$183)</f>
        <v>11568</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1380</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1383</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1384</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1385</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1386</v>
      </c>
      <c r="B721" s="2358">
        <f>-('Part V-Revenues &amp; Expenses'!$Q$232-'Part V-Revenues &amp; Expenses'!$Q$224)</f>
        <v>-275230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1387</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1388</v>
      </c>
      <c r="B723" s="2358">
        <f>-('Part V-Revenues &amp; Expenses'!$Q$238)</f>
        <v>-18000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1389</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1390</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407</v>
      </c>
      <c r="B726" s="2358">
        <f>'Part VI-Pro Forma'!B26</f>
        <v>-188666.53650856763</v>
      </c>
      <c r="C726" s="2358">
        <f>'Part VI-Pro Forma'!C26</f>
        <v>-188666.53650856763</v>
      </c>
      <c r="D726" s="2358">
        <f>'Part VI-Pro Forma'!D26</f>
        <v>-188666.53650856763</v>
      </c>
      <c r="E726" s="2358">
        <f>'Part VI-Pro Forma'!E26</f>
        <v>-188666.53650856763</v>
      </c>
      <c r="F726" s="2358">
        <f>'Part VI-Pro Forma'!F26</f>
        <v>-188666.53650856763</v>
      </c>
      <c r="G726" s="2358">
        <f>'Part VI-Pro Forma'!G26</f>
        <v>-188666.53650856763</v>
      </c>
      <c r="H726" s="2358">
        <f>'Part VI-Pro Forma'!H26</f>
        <v>-188666.53650856763</v>
      </c>
      <c r="I726" s="2358">
        <f>'Part VI-Pro Forma'!I26</f>
        <v>-188666.53650856763</v>
      </c>
      <c r="J726" s="2358">
        <f>'Part VI-Pro Forma'!J26</f>
        <v>-188666.53650856763</v>
      </c>
      <c r="K726" s="2358">
        <f>'Part VI-Pro Forma'!K26</f>
        <v>-188666.53650856763</v>
      </c>
    </row>
    <row r="727" spans="1:11">
      <c r="A727" s="251" t="s">
        <v>410</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1391</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1392</v>
      </c>
      <c r="B730" s="2358"/>
      <c r="C730" s="2358"/>
      <c r="D730" s="2358"/>
      <c r="E730" s="2358"/>
      <c r="F730" s="2358"/>
      <c r="G730" s="2358"/>
      <c r="H730" s="2358"/>
      <c r="I730" s="2358"/>
      <c r="J730" s="2358"/>
      <c r="K730" s="2358"/>
    </row>
    <row r="731" spans="1:11">
      <c r="A731" s="251" t="s">
        <v>1393</v>
      </c>
      <c r="B731" s="2358">
        <f>'Part VI-Pro Forma'!B31</f>
        <v>-9000</v>
      </c>
      <c r="C731" s="2358">
        <f>'Part VI-Pro Forma'!C31</f>
        <v>-9270</v>
      </c>
      <c r="D731" s="2358">
        <f>'Part VI-Pro Forma'!D31</f>
        <v>-9548.1</v>
      </c>
      <c r="E731" s="2358">
        <f>'Part VI-Pro Forma'!E31</f>
        <v>-9834.5430000000015</v>
      </c>
      <c r="F731" s="2358">
        <f>'Part VI-Pro Forma'!F31</f>
        <v>-10129.579290000001</v>
      </c>
      <c r="G731" s="2358">
        <f>'Part VI-Pro Forma'!G31</f>
        <v>-10433.466668700003</v>
      </c>
      <c r="H731" s="2358">
        <f>'Part VI-Pro Forma'!H31</f>
        <v>-10746.470668761003</v>
      </c>
      <c r="I731" s="2358">
        <f>'Part VI-Pro Forma'!I31</f>
        <v>-11068.864788823834</v>
      </c>
      <c r="J731" s="2358">
        <f>'Part VI-Pro Forma'!J31</f>
        <v>-11400.930732488549</v>
      </c>
      <c r="K731" s="2358">
        <f>'Part VI-Pro Forma'!K31</f>
        <v>-11742.958654463206</v>
      </c>
    </row>
    <row r="732" spans="1:11">
      <c r="A732" s="251" t="s">
        <v>1394</v>
      </c>
      <c r="B732" s="2358">
        <f>'Part VI-Pro Forma'!B32</f>
        <v>-30340</v>
      </c>
      <c r="C732" s="2358">
        <f>'Part VI-Pro Forma'!C32</f>
        <v>-31698</v>
      </c>
      <c r="D732" s="2358">
        <f>'Part VI-Pro Forma'!D32</f>
        <v>-32992</v>
      </c>
      <c r="E732" s="2358">
        <f>'Part VI-Pro Forma'!E32</f>
        <v>-34219</v>
      </c>
      <c r="F732" s="2358">
        <f>'Part VI-Pro Forma'!F32</f>
        <v>-35374</v>
      </c>
      <c r="G732" s="2358">
        <f>'Part VI-Pro Forma'!G32</f>
        <v>-36453</v>
      </c>
      <c r="H732" s="2358">
        <f>'Part VI-Pro Forma'!H32</f>
        <v>-37452</v>
      </c>
      <c r="I732" s="2358">
        <f>'Part VI-Pro Forma'!I32</f>
        <v>-38366</v>
      </c>
      <c r="J732" s="2358">
        <f>'Part VI-Pro Forma'!J32</f>
        <v>-39189</v>
      </c>
      <c r="K732" s="2358">
        <f>'Part VI-Pro Forma'!K32</f>
        <v>-23382</v>
      </c>
    </row>
    <row r="733" spans="1:11">
      <c r="A733" s="251" t="s">
        <v>453</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1395</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1396</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1397</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1398</v>
      </c>
      <c r="B740" s="2358">
        <f>'Part VI-Pro Forma'!B40</f>
        <v>2518055.0591509864</v>
      </c>
      <c r="C740" s="2358">
        <f>'Part VI-Pro Forma'!C40</f>
        <v>2505246.6175621748</v>
      </c>
      <c r="D740" s="2358">
        <f>'Part VI-Pro Forma'!D40</f>
        <v>2491512.2526952652</v>
      </c>
      <c r="E740" s="2358">
        <f>'Part VI-Pro Forma'!E40</f>
        <v>2476785.0294816177</v>
      </c>
      <c r="F740" s="2358">
        <f>'Part VI-Pro Forma'!F40</f>
        <v>2460993.1741110682</v>
      </c>
      <c r="G740" s="2358">
        <f>'Part VI-Pro Forma'!G40</f>
        <v>2444059.7242389116</v>
      </c>
      <c r="H740" s="2358">
        <f>'Part VI-Pro Forma'!H40</f>
        <v>2425902.1539063216</v>
      </c>
      <c r="I740" s="2358">
        <f>'Part VI-Pro Forma'!I40</f>
        <v>2406431.9713462358</v>
      </c>
      <c r="J740" s="2358">
        <f>'Part VI-Pro Forma'!J40</f>
        <v>2385554.2877145959</v>
      </c>
      <c r="K740" s="2358">
        <f>'Part VI-Pro Forma'!K40</f>
        <v>2363167.3546451339</v>
      </c>
    </row>
    <row r="741" spans="1:11">
      <c r="A741" s="251" t="s">
        <v>1399</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1400</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1401</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1402</v>
      </c>
      <c r="B744" s="2358">
        <f>'Part VI-Pro Forma'!B44</f>
        <v>309125</v>
      </c>
      <c r="C744" s="2358">
        <f>'Part VI-Pro Forma'!C44</f>
        <v>277427</v>
      </c>
      <c r="D744" s="2358">
        <f>'Part VI-Pro Forma'!D44</f>
        <v>244435</v>
      </c>
      <c r="E744" s="2358">
        <f>'Part VI-Pro Forma'!E44</f>
        <v>210216</v>
      </c>
      <c r="F744" s="2358">
        <f>'Part VI-Pro Forma'!F44</f>
        <v>174842</v>
      </c>
      <c r="G744" s="2358">
        <f>'Part VI-Pro Forma'!G44</f>
        <v>138389</v>
      </c>
      <c r="H744" s="2358">
        <f>'Part VI-Pro Forma'!H44</f>
        <v>100937</v>
      </c>
      <c r="I744" s="2358">
        <f>'Part VI-Pro Forma'!I44</f>
        <v>62571</v>
      </c>
      <c r="J744" s="2358">
        <f>'Part VI-Pro Forma'!J44</f>
        <v>23382</v>
      </c>
      <c r="K744" s="2358">
        <f>'Part VI-Pro Forma'!K44</f>
        <v>0</v>
      </c>
    </row>
    <row r="745" spans="1:11">
      <c r="B745" s="2358"/>
      <c r="C745" s="2358"/>
      <c r="D745" s="2358"/>
      <c r="E745" s="2358"/>
      <c r="F745" s="2358"/>
      <c r="G745" s="2358"/>
      <c r="H745" s="2358"/>
      <c r="I745" s="2358"/>
      <c r="J745" s="2358"/>
      <c r="K745" s="2358"/>
    </row>
    <row r="746" spans="1:11">
      <c r="A746" s="255" t="s">
        <v>494</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1377</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1260</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1380</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1383</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1384</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1385</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1386</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1387</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1388</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1389</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1390</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-188666.53650856763</v>
      </c>
      <c r="C758" s="2358">
        <f>'Part VI-Pro Forma'!C58</f>
        <v>-188666.53650856763</v>
      </c>
      <c r="D758" s="2358">
        <f>'Part VI-Pro Forma'!D58</f>
        <v>-188666.53650856763</v>
      </c>
      <c r="E758" s="2358">
        <f>'Part VI-Pro Forma'!E58</f>
        <v>-188666.53650856763</v>
      </c>
      <c r="F758" s="2358">
        <f>'Part VI-Pro Forma'!F58</f>
        <v>-188666.53650856763</v>
      </c>
      <c r="G758" s="2358">
        <f>'Part VI-Pro Forma'!G58</f>
        <v>-188666.53650856763</v>
      </c>
      <c r="H758" s="2358">
        <f>'Part VI-Pro Forma'!H58</f>
        <v>-188666.53650856763</v>
      </c>
      <c r="I758" s="2358">
        <f>'Part VI-Pro Forma'!I58</f>
        <v>-188666.53650856763</v>
      </c>
      <c r="J758" s="2358">
        <f>'Part VI-Pro Forma'!J58</f>
        <v>-188666.53650856763</v>
      </c>
      <c r="K758" s="2358">
        <f>'Part VI-Pro Forma'!K58</f>
        <v>-188666.53650856763</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1392</v>
      </c>
      <c r="B762" s="2358"/>
      <c r="C762" s="2358"/>
      <c r="D762" s="2358"/>
      <c r="E762" s="2358"/>
      <c r="F762" s="2358"/>
      <c r="G762" s="2358"/>
      <c r="H762" s="2358"/>
      <c r="I762" s="2358"/>
      <c r="J762" s="2358"/>
      <c r="K762" s="2358"/>
    </row>
    <row r="763" spans="1:11">
      <c r="A763" s="251" t="s">
        <v>1393</v>
      </c>
      <c r="B763" s="2358">
        <f>'Part VI-Pro Forma'!B63</f>
        <v>-12095.247414097103</v>
      </c>
      <c r="C763" s="2358">
        <f>'Part VI-Pro Forma'!C63</f>
        <v>-12458.104836520017</v>
      </c>
      <c r="D763" s="2358">
        <f>'Part VI-Pro Forma'!D63</f>
        <v>-12831.847981615618</v>
      </c>
      <c r="E763" s="2358">
        <f>'Part VI-Pro Forma'!E63</f>
        <v>-13216.803421064087</v>
      </c>
      <c r="F763" s="2358">
        <f>'Part VI-Pro Forma'!F63</f>
        <v>-13613.30752369601</v>
      </c>
      <c r="G763" s="2358">
        <f>'Part VI-Pro Forma'!G63</f>
        <v>-14021.706749406891</v>
      </c>
      <c r="H763" s="2358">
        <f>'Part VI-Pro Forma'!H63</f>
        <v>-14442.357951889098</v>
      </c>
      <c r="I763" s="2358">
        <f>'Part VI-Pro Forma'!I63</f>
        <v>-14875.628690445772</v>
      </c>
      <c r="J763" s="2358">
        <f>'Part VI-Pro Forma'!J63</f>
        <v>-15321.897551159145</v>
      </c>
      <c r="K763" s="2358">
        <f>'Part VI-Pro Forma'!K63</f>
        <v>-15781.55447769392</v>
      </c>
    </row>
    <row r="764" spans="1:11">
      <c r="A764" s="251" t="s">
        <v>1394</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453</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1396</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1397</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1398</v>
      </c>
      <c r="B772" s="2358">
        <f>'Part VI-Pro Forma'!B72</f>
        <v>2339162.0683739572</v>
      </c>
      <c r="C772" s="2358">
        <f>'Part VI-Pro Forma'!C72</f>
        <v>2313421.4380172603</v>
      </c>
      <c r="D772" s="2358">
        <f>'Part VI-Pro Forma'!D72</f>
        <v>2285820.015410787</v>
      </c>
      <c r="E772" s="2358">
        <f>'Part VI-Pro Forma'!E72</f>
        <v>2256223.2837323449</v>
      </c>
      <c r="F772" s="2358">
        <f>'Part VI-Pro Forma'!F72</f>
        <v>2224487.0019277879</v>
      </c>
      <c r="G772" s="2358">
        <f>'Part VI-Pro Forma'!G72</f>
        <v>2190456.5017455029</v>
      </c>
      <c r="H772" s="2358">
        <f>'Part VI-Pro Forma'!H72</f>
        <v>2153965.9339534626</v>
      </c>
      <c r="I772" s="2358">
        <f>'Part VI-Pro Forma'!I72</f>
        <v>2114837.4600652456</v>
      </c>
      <c r="J772" s="2358">
        <f>'Part VI-Pro Forma'!J72</f>
        <v>2072880.3856358682</v>
      </c>
      <c r="K772" s="2358">
        <f>'Part VI-Pro Forma'!K72</f>
        <v>2027890.2309035002</v>
      </c>
    </row>
    <row r="773" spans="1:11">
      <c r="A773" s="251" t="s">
        <v>1399</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1400</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1401</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1402</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494</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1377</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1260</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1380</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1383</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1384</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1385</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1386</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1387</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1388</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1389</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1390</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-188666.53650856763</v>
      </c>
      <c r="C790" s="2358">
        <f>'Part VI-Pro Forma'!C90</f>
        <v>-188666.53650856763</v>
      </c>
      <c r="D790" s="2358">
        <f>'Part VI-Pro Forma'!D90</f>
        <v>-188666.53650856763</v>
      </c>
      <c r="E790" s="2358">
        <f>'Part VI-Pro Forma'!E90</f>
        <v>-188666.53650856763</v>
      </c>
      <c r="F790" s="2358">
        <f>'Part VI-Pro Forma'!F90</f>
        <v>-188666.53650856763</v>
      </c>
      <c r="G790" s="2358">
        <f>'Part VI-Pro Forma'!G90</f>
        <v>-188666.53650856763</v>
      </c>
      <c r="H790" s="2358">
        <f>'Part VI-Pro Forma'!H90</f>
        <v>-188666.53650856763</v>
      </c>
      <c r="I790" s="2358">
        <f>'Part VI-Pro Forma'!I90</f>
        <v>-188666.53650856763</v>
      </c>
      <c r="J790" s="2358">
        <f>'Part VI-Pro Forma'!J90</f>
        <v>-188666.53650856763</v>
      </c>
      <c r="K790" s="2358">
        <f>'Part VI-Pro Forma'!K90</f>
        <v>-188666.53650856763</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1392</v>
      </c>
      <c r="B794" s="2358"/>
      <c r="C794" s="2358"/>
      <c r="D794" s="2358"/>
      <c r="E794" s="2358"/>
      <c r="F794" s="2358"/>
      <c r="G794" s="2358"/>
      <c r="H794" s="2358"/>
      <c r="I794" s="2358"/>
      <c r="J794" s="2358"/>
      <c r="K794" s="2358"/>
    </row>
    <row r="795" spans="1:11">
      <c r="A795" s="251" t="s">
        <v>1393</v>
      </c>
      <c r="B795" s="2358">
        <f>'Part VI-Pro Forma'!B95</f>
        <v>-16255.001112024738</v>
      </c>
      <c r="C795" s="2358">
        <f>'Part VI-Pro Forma'!C95</f>
        <v>-16742.65114538548</v>
      </c>
      <c r="D795" s="2358">
        <f>'Part VI-Pro Forma'!D95</f>
        <v>-17244.930679747045</v>
      </c>
      <c r="E795" s="2358">
        <f>'Part VI-Pro Forma'!E95</f>
        <v>-17762.278600139456</v>
      </c>
      <c r="F795" s="2358">
        <f>'Part VI-Pro Forma'!F95</f>
        <v>-18295.146958143639</v>
      </c>
      <c r="G795" s="2358">
        <f>'Part VI-Pro Forma'!G95</f>
        <v>-18844.001366887947</v>
      </c>
      <c r="H795" s="2358">
        <f>'Part VI-Pro Forma'!H95</f>
        <v>-19409.321407894586</v>
      </c>
      <c r="I795" s="2358">
        <f>'Part VI-Pro Forma'!I95</f>
        <v>-19991.601050131423</v>
      </c>
      <c r="J795" s="2358">
        <f>'Part VI-Pro Forma'!J95</f>
        <v>-20591.349081635366</v>
      </c>
      <c r="K795" s="2358">
        <f>'Part VI-Pro Forma'!K95</f>
        <v>-21209.089554084429</v>
      </c>
    </row>
    <row r="796" spans="1:11">
      <c r="A796" s="251" t="s">
        <v>453</v>
      </c>
      <c r="B796" s="2358">
        <f>'Part VI-Pro Forma'!B96</f>
        <v>40002.579416114138</v>
      </c>
      <c r="C796" s="2358">
        <f>'Part VI-Pro Forma'!C96</f>
        <v>39117.651750066419</v>
      </c>
      <c r="D796" s="2358">
        <f>'Part VI-Pro Forma'!D96</f>
        <v>38050.567231161607</v>
      </c>
      <c r="E796" s="2358">
        <f>'Part VI-Pro Forma'!E96</f>
        <v>36794.109973356099</v>
      </c>
      <c r="F796" s="2358">
        <f>'Part VI-Pro Forma'!F96</f>
        <v>35338.752390416732</v>
      </c>
      <c r="G796" s="2358">
        <f>'Part VI-Pro Forma'!G96</f>
        <v>33674.644540441011</v>
      </c>
      <c r="H796" s="2358">
        <f>'Part VI-Pro Forma'!H96</f>
        <v>31793.603124627483</v>
      </c>
      <c r="I796" s="2358">
        <f>'Part VI-Pro Forma'!I96</f>
        <v>29685.100129393402</v>
      </c>
      <c r="J796" s="2358">
        <f>'Part VI-Pro Forma'!J96</f>
        <v>27339.251100618181</v>
      </c>
      <c r="K796" s="2358">
        <f>'Part VI-Pro Forma'!K96</f>
        <v>24743.803038421123</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1396</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1397</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1398</v>
      </c>
      <c r="B803" s="2358">
        <f>'Part VI-Pro Forma'!B103</f>
        <v>1979647.7342477948</v>
      </c>
      <c r="C803" s="2358">
        <f>'Part VI-Pro Forma'!C103</f>
        <v>1927917.7836081418</v>
      </c>
      <c r="D803" s="2358">
        <f>'Part VI-Pro Forma'!D103</f>
        <v>1872448.270654059</v>
      </c>
      <c r="E803" s="2358">
        <f>'Part VI-Pro Forma'!E103</f>
        <v>1812968.8621234696</v>
      </c>
      <c r="F803" s="2358">
        <f>'Part VI-Pro Forma'!F103</f>
        <v>1749189.6823409228</v>
      </c>
      <c r="G803" s="2358">
        <f>'Part VI-Pro Forma'!G103</f>
        <v>1680799.9004949513</v>
      </c>
      <c r="H803" s="2358">
        <f>'Part VI-Pro Forma'!H103</f>
        <v>1607466.2157895942</v>
      </c>
      <c r="I803" s="2358">
        <f>'Part VI-Pro Forma'!I103</f>
        <v>1528831.2330874011</v>
      </c>
      <c r="J803" s="2358">
        <f>'Part VI-Pro Forma'!J103</f>
        <v>1444511.7211275378</v>
      </c>
      <c r="K803" s="2358">
        <f>'Part VI-Pro Forma'!K103</f>
        <v>1354096.7448303376</v>
      </c>
    </row>
    <row r="804" spans="1:11">
      <c r="A804" s="251" t="s">
        <v>1399</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1400</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1401</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494</v>
      </c>
      <c r="B808" s="2361">
        <f>K778+1</f>
        <v>31</v>
      </c>
      <c r="C808" s="2361">
        <f>B808+1</f>
        <v>32</v>
      </c>
      <c r="D808" s="2361">
        <f>C808+1</f>
        <v>33</v>
      </c>
      <c r="E808" s="2361">
        <f>D808+1</f>
        <v>34</v>
      </c>
      <c r="F808" s="2361">
        <f>E808+1</f>
        <v>35</v>
      </c>
      <c r="G808" s="2358"/>
      <c r="H808" s="2358"/>
      <c r="I808" s="2358"/>
      <c r="J808" s="2358"/>
      <c r="K808" s="2358"/>
    </row>
    <row r="809" spans="1:11">
      <c r="A809" s="251" t="s">
        <v>1377</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1260</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1380</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1383</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1384</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1385</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1386</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1387</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1388</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1389</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1390</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-188666.53650856763</v>
      </c>
      <c r="C820" s="2358">
        <f>'Part VI-Pro Forma'!C120</f>
        <v>-188666.53650856763</v>
      </c>
      <c r="D820" s="2358">
        <f>'Part VI-Pro Forma'!D120</f>
        <v>-188666.53650856763</v>
      </c>
      <c r="E820" s="2358">
        <f>'Part VI-Pro Forma'!E120</f>
        <v>-188666.53650856763</v>
      </c>
      <c r="F820" s="2358">
        <f>'Part VI-Pro Forma'!F120</f>
        <v>-188666.53650856763</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1392</v>
      </c>
      <c r="B824" s="2358"/>
      <c r="C824" s="2358"/>
      <c r="D824" s="2358"/>
      <c r="E824" s="2358"/>
      <c r="F824" s="2358"/>
      <c r="G824" s="2358"/>
      <c r="H824" s="2358"/>
      <c r="I824" s="2358"/>
      <c r="J824" s="2358"/>
      <c r="K824" s="2358"/>
    </row>
    <row r="825" spans="1:11">
      <c r="A825" s="251" t="s">
        <v>1393</v>
      </c>
      <c r="B825" s="2358">
        <f>'Part VI-Pro Forma'!B125</f>
        <v>-21845.362240706963</v>
      </c>
      <c r="C825" s="2358">
        <f>'Part VI-Pro Forma'!C125</f>
        <v>-22500.723107928174</v>
      </c>
      <c r="D825" s="2358">
        <f>'Part VI-Pro Forma'!D125</f>
        <v>-23175.74480116602</v>
      </c>
      <c r="E825" s="2358">
        <f>'Part VI-Pro Forma'!E125</f>
        <v>-23871.017145201</v>
      </c>
      <c r="F825" s="2358">
        <f>'Part VI-Pro Forma'!F125</f>
        <v>-24587.147659557031</v>
      </c>
      <c r="G825" s="2358"/>
      <c r="H825" s="2358"/>
      <c r="I825" s="2358"/>
      <c r="J825" s="2358"/>
      <c r="K825" s="2358"/>
    </row>
    <row r="826" spans="1:11">
      <c r="A826" s="251" t="s">
        <v>453</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1396</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1397</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1398</v>
      </c>
      <c r="B833" s="2358">
        <f>'Part VI-Pro Forma'!B133</f>
        <v>1257145.662585998</v>
      </c>
      <c r="C833" s="2358">
        <f>'Part VI-Pro Forma'!C133</f>
        <v>1153185.9787671156</v>
      </c>
      <c r="D833" s="2358">
        <f>'Part VI-Pro Forma'!D133</f>
        <v>1041711.0409991776</v>
      </c>
      <c r="E833" s="2358">
        <f>'Part VI-Pro Forma'!E133</f>
        <v>922177.57096655131</v>
      </c>
      <c r="F833" s="2358">
        <f>'Part VI-Pro Forma'!F133</f>
        <v>794003.01672024012</v>
      </c>
      <c r="G833" s="2358"/>
      <c r="H833" s="2358"/>
      <c r="I833" s="2358"/>
      <c r="J833" s="2358"/>
      <c r="K833" s="2358"/>
    </row>
    <row r="834" spans="1:17">
      <c r="A834" s="251" t="s">
        <v>1399</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1400</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1401</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1407</v>
      </c>
      <c r="B838" s="255"/>
      <c r="G838" s="255" t="s">
        <v>1408</v>
      </c>
    </row>
    <row r="839" spans="1:17">
      <c r="B839" s="255"/>
    </row>
    <row r="840" spans="1:17" ht="12.75" customHeight="1">
      <c r="A840" s="2129" t="str">
        <f>'Part VI-Pro Forma'!A140</f>
        <v>Debt matches the Sources tab.  Deferred Developer fee projected to be paid off in 10 years.</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Abbington Blue Ridge,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1410</v>
      </c>
      <c r="Q846" s="2362" t="s">
        <v>1411</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75" customHeight="1">
      <c r="A850" s="2369" t="s">
        <v>1412</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4.1">
      <c r="A852" s="2370" t="s">
        <v>2271</v>
      </c>
      <c r="B852" s="2371"/>
      <c r="C852" s="2371"/>
      <c r="D852" s="2371"/>
      <c r="E852" s="2371"/>
      <c r="F852" s="2371"/>
      <c r="G852" s="2371"/>
      <c r="H852" s="2371"/>
      <c r="I852" s="2091"/>
      <c r="J852" s="2091"/>
      <c r="K852" s="2086"/>
      <c r="L852" s="2086"/>
      <c r="M852" s="2086"/>
      <c r="N852" s="2086"/>
      <c r="O852" s="2086"/>
      <c r="P852" s="2091"/>
      <c r="Q852" s="2091"/>
    </row>
    <row r="853" spans="1:17" ht="14.1">
      <c r="A853" s="2372" t="s">
        <v>1414</v>
      </c>
      <c r="B853" s="2371"/>
      <c r="C853" s="2371"/>
      <c r="D853" s="2371"/>
      <c r="E853" s="2371"/>
      <c r="F853" s="2371"/>
      <c r="G853" s="2371"/>
      <c r="H853" s="2086"/>
      <c r="I853" s="2091"/>
      <c r="J853" s="2091"/>
      <c r="K853" s="2086"/>
      <c r="L853" s="2086"/>
      <c r="M853" s="2089"/>
      <c r="N853" s="2089"/>
      <c r="O853" s="2371"/>
      <c r="P853" s="2371"/>
      <c r="Q853" s="2371"/>
    </row>
    <row r="854" spans="1:17" ht="14.1">
      <c r="A854" s="2373" t="s">
        <v>1415</v>
      </c>
      <c r="B854" s="2373"/>
      <c r="C854" s="2373"/>
      <c r="D854" s="2373"/>
      <c r="E854" s="2373"/>
      <c r="F854" s="2373"/>
      <c r="G854" s="2373"/>
      <c r="H854" s="2373"/>
      <c r="I854" s="2373"/>
      <c r="J854" s="2373"/>
      <c r="K854" s="2373"/>
      <c r="L854" s="2373"/>
      <c r="M854" s="2373"/>
      <c r="N854" s="2373"/>
      <c r="O854" s="2373"/>
      <c r="P854" s="2373"/>
      <c r="Q854" s="2373"/>
    </row>
    <row r="855" spans="1:17" ht="14.1">
      <c r="A855" s="2373" t="s">
        <v>1416</v>
      </c>
      <c r="B855" s="2373"/>
      <c r="C855" s="2373"/>
      <c r="D855" s="2373"/>
      <c r="E855" s="2373"/>
      <c r="F855" s="2373"/>
      <c r="G855" s="2373"/>
      <c r="H855" s="2373"/>
      <c r="I855" s="2373"/>
      <c r="J855" s="2373"/>
      <c r="K855" s="2373"/>
      <c r="L855" s="2373"/>
      <c r="M855" s="2373"/>
      <c r="N855" s="2373"/>
      <c r="O855" s="2373"/>
      <c r="P855" s="2373"/>
      <c r="Q855" s="2373"/>
    </row>
    <row r="856" spans="1:17" ht="14.1">
      <c r="A856" s="2373" t="s">
        <v>1417</v>
      </c>
      <c r="B856" s="2373"/>
      <c r="C856" s="2373"/>
      <c r="D856" s="2373"/>
      <c r="E856" s="2373"/>
      <c r="F856" s="2373"/>
      <c r="G856" s="2373"/>
      <c r="H856" s="2373"/>
      <c r="I856" s="2373"/>
      <c r="J856" s="2373"/>
      <c r="K856" s="2373"/>
      <c r="L856" s="2373"/>
      <c r="M856" s="2373"/>
      <c r="N856" s="2373"/>
      <c r="O856" s="2373"/>
      <c r="P856" s="2373"/>
      <c r="Q856" s="2373"/>
    </row>
    <row r="857" spans="1:17" ht="14.1">
      <c r="A857" s="2373" t="s">
        <v>1418</v>
      </c>
      <c r="B857" s="2373"/>
      <c r="C857" s="2373"/>
      <c r="D857" s="2373"/>
      <c r="E857" s="2373"/>
      <c r="F857" s="2373"/>
      <c r="G857" s="2373"/>
      <c r="H857" s="2373"/>
      <c r="I857" s="2373"/>
      <c r="J857" s="2373"/>
      <c r="K857" s="2373"/>
      <c r="L857" s="2373"/>
      <c r="M857" s="2373"/>
      <c r="N857" s="2373"/>
      <c r="O857" s="2373"/>
      <c r="P857" s="2373"/>
      <c r="Q857" s="2373"/>
    </row>
    <row r="858" spans="1:17" ht="14.1">
      <c r="A858" s="2373" t="s">
        <v>1419</v>
      </c>
      <c r="B858" s="2373"/>
      <c r="C858" s="2373"/>
      <c r="D858" s="2373"/>
      <c r="E858" s="2373"/>
      <c r="F858" s="2373"/>
      <c r="G858" s="2373"/>
      <c r="H858" s="2373"/>
      <c r="I858" s="2373"/>
      <c r="J858" s="2373"/>
      <c r="K858" s="2373"/>
      <c r="L858" s="2373"/>
      <c r="M858" s="2373"/>
      <c r="N858" s="2373"/>
      <c r="O858" s="2373"/>
      <c r="P858" s="2373"/>
      <c r="Q858" s="2373"/>
    </row>
    <row r="859" spans="1:17" ht="14.1">
      <c r="A859" s="2373" t="s">
        <v>1420</v>
      </c>
      <c r="B859" s="2373"/>
      <c r="C859" s="2373"/>
      <c r="D859" s="2373"/>
      <c r="E859" s="2373"/>
      <c r="F859" s="2373"/>
      <c r="G859" s="2373"/>
      <c r="H859" s="2373"/>
      <c r="I859" s="2373"/>
      <c r="J859" s="2373"/>
      <c r="K859" s="2373"/>
      <c r="L859" s="2373"/>
      <c r="M859" s="2373"/>
      <c r="N859" s="2373"/>
      <c r="O859" s="2373"/>
      <c r="P859" s="2373"/>
      <c r="Q859" s="2373"/>
    </row>
    <row r="860" spans="1:17" ht="14.1">
      <c r="A860" s="2373" t="s">
        <v>1421</v>
      </c>
      <c r="B860" s="2373"/>
      <c r="C860" s="2373"/>
      <c r="D860" s="2373"/>
      <c r="E860" s="2373"/>
      <c r="F860" s="2373"/>
      <c r="G860" s="2373"/>
      <c r="H860" s="2373"/>
      <c r="I860" s="2373"/>
      <c r="J860" s="2373"/>
      <c r="K860" s="2373"/>
      <c r="L860" s="2373"/>
      <c r="M860" s="2373"/>
      <c r="N860" s="2373"/>
      <c r="O860" s="2373"/>
      <c r="P860" s="2373"/>
      <c r="Q860" s="2373"/>
    </row>
    <row r="861" spans="1:17" ht="14.1">
      <c r="A861" s="2373" t="s">
        <v>1422</v>
      </c>
      <c r="B861" s="2373"/>
      <c r="C861" s="2373"/>
      <c r="D861" s="2373"/>
      <c r="E861" s="2373"/>
      <c r="F861" s="2373"/>
      <c r="G861" s="2373"/>
      <c r="H861" s="2373"/>
      <c r="I861" s="2373"/>
      <c r="J861" s="2373"/>
      <c r="K861" s="2373"/>
      <c r="L861" s="2373"/>
      <c r="M861" s="2373"/>
      <c r="N861" s="2373"/>
      <c r="O861" s="2373"/>
      <c r="P861" s="2373"/>
      <c r="Q861" s="2373"/>
    </row>
    <row r="862" spans="1:17" ht="14.1">
      <c r="A862" s="2373" t="s">
        <v>1423</v>
      </c>
      <c r="B862" s="2373"/>
      <c r="C862" s="2373"/>
      <c r="D862" s="2373"/>
      <c r="E862" s="2373"/>
      <c r="F862" s="2373"/>
      <c r="G862" s="2373"/>
      <c r="H862" s="2373"/>
      <c r="I862" s="2373"/>
      <c r="J862" s="2373"/>
      <c r="K862" s="2373"/>
      <c r="L862" s="2373"/>
      <c r="M862" s="2373"/>
      <c r="N862" s="2373"/>
      <c r="O862" s="2373"/>
      <c r="P862" s="2373"/>
      <c r="Q862" s="2373"/>
    </row>
    <row r="863" spans="1:17" ht="14.1">
      <c r="A863" s="2373" t="s">
        <v>1424</v>
      </c>
      <c r="B863" s="2373"/>
      <c r="C863" s="2373"/>
      <c r="D863" s="2373"/>
      <c r="E863" s="2373"/>
      <c r="F863" s="2373"/>
      <c r="G863" s="2373"/>
      <c r="H863" s="2373"/>
      <c r="I863" s="2373"/>
      <c r="J863" s="2373"/>
      <c r="K863" s="2373"/>
      <c r="L863" s="2373"/>
      <c r="M863" s="2373"/>
      <c r="N863" s="2373"/>
      <c r="O863" s="2373"/>
      <c r="P863" s="2373"/>
      <c r="Q863" s="2373"/>
    </row>
    <row r="864" spans="1:17" ht="14.1">
      <c r="A864" s="2373" t="s">
        <v>1425</v>
      </c>
      <c r="B864" s="2373"/>
      <c r="C864" s="2373"/>
      <c r="D864" s="2373"/>
      <c r="E864" s="2373"/>
      <c r="F864" s="2373"/>
      <c r="G864" s="2373"/>
      <c r="H864" s="2373"/>
      <c r="I864" s="2373"/>
      <c r="J864" s="2373"/>
      <c r="K864" s="2373"/>
      <c r="L864" s="2373"/>
      <c r="M864" s="2373"/>
      <c r="N864" s="2373"/>
      <c r="O864" s="2373"/>
      <c r="P864" s="2373"/>
      <c r="Q864" s="2373"/>
    </row>
    <row r="865" spans="1:17" ht="14.1">
      <c r="A865" s="2373" t="s">
        <v>1426</v>
      </c>
      <c r="B865" s="2373"/>
      <c r="C865" s="2373"/>
      <c r="D865" s="2373"/>
      <c r="E865" s="2373"/>
      <c r="F865" s="2373"/>
      <c r="G865" s="2373"/>
      <c r="H865" s="2373"/>
      <c r="I865" s="2373"/>
      <c r="J865" s="2373"/>
      <c r="K865" s="2373"/>
      <c r="L865" s="2373"/>
      <c r="M865" s="2373"/>
      <c r="N865" s="2373"/>
      <c r="O865" s="2373"/>
      <c r="P865" s="2373"/>
      <c r="Q865" s="2373"/>
    </row>
    <row r="866" spans="1:17" ht="14.1">
      <c r="A866" s="2373" t="s">
        <v>1427</v>
      </c>
      <c r="B866" s="2373"/>
      <c r="C866" s="2373"/>
      <c r="D866" s="2373"/>
      <c r="E866" s="2373"/>
      <c r="F866" s="2373"/>
      <c r="G866" s="2373"/>
      <c r="H866" s="2373"/>
      <c r="I866" s="2373"/>
      <c r="J866" s="2373"/>
      <c r="K866" s="2373"/>
      <c r="L866" s="2373"/>
      <c r="M866" s="2373"/>
      <c r="N866" s="2373"/>
      <c r="O866" s="2373"/>
      <c r="P866" s="2373"/>
      <c r="Q866" s="2373"/>
    </row>
    <row r="867" spans="1:17" ht="14.1">
      <c r="A867" s="2373" t="s">
        <v>1428</v>
      </c>
      <c r="B867" s="2373"/>
      <c r="C867" s="2373"/>
      <c r="D867" s="2373"/>
      <c r="E867" s="2373"/>
      <c r="F867" s="2373"/>
      <c r="G867" s="2373"/>
      <c r="H867" s="2373"/>
      <c r="I867" s="2373"/>
      <c r="J867" s="2373"/>
      <c r="K867" s="2373"/>
      <c r="L867" s="2373"/>
      <c r="M867" s="2373"/>
      <c r="N867" s="2373"/>
      <c r="O867" s="2373"/>
      <c r="P867" s="2373"/>
      <c r="Q867" s="2373"/>
    </row>
    <row r="868" spans="1:17" ht="14.1">
      <c r="A868" s="2373" t="s">
        <v>1429</v>
      </c>
      <c r="B868" s="2373"/>
      <c r="C868" s="2373"/>
      <c r="D868" s="2373"/>
      <c r="E868" s="2373"/>
      <c r="F868" s="2373"/>
      <c r="G868" s="2373"/>
      <c r="H868" s="2373"/>
      <c r="I868" s="2373"/>
      <c r="J868" s="2373"/>
      <c r="K868" s="2373"/>
      <c r="L868" s="2373"/>
      <c r="M868" s="2373"/>
      <c r="N868" s="2373"/>
      <c r="O868" s="2373"/>
      <c r="P868" s="2373"/>
      <c r="Q868" s="2373"/>
    </row>
    <row r="869" spans="1:17" ht="14.1">
      <c r="A869" s="2373" t="s">
        <v>1430</v>
      </c>
      <c r="B869" s="2373"/>
      <c r="C869" s="2373"/>
      <c r="D869" s="2373"/>
      <c r="E869" s="2373"/>
      <c r="F869" s="2373"/>
      <c r="G869" s="2373"/>
      <c r="H869" s="2373"/>
      <c r="I869" s="2373"/>
      <c r="J869" s="2373"/>
      <c r="K869" s="2373"/>
      <c r="L869" s="2373"/>
      <c r="M869" s="2373"/>
      <c r="N869" s="2373"/>
      <c r="O869" s="2373"/>
      <c r="P869" s="2373"/>
      <c r="Q869" s="2373"/>
    </row>
    <row r="870" spans="1:17" ht="14.1">
      <c r="A870" s="2373" t="s">
        <v>1431</v>
      </c>
      <c r="B870" s="2373"/>
      <c r="C870" s="2373"/>
      <c r="D870" s="2373"/>
      <c r="E870" s="2373"/>
      <c r="F870" s="2373"/>
      <c r="G870" s="2373"/>
      <c r="H870" s="2373"/>
      <c r="I870" s="2373"/>
      <c r="J870" s="2373"/>
      <c r="K870" s="2373"/>
      <c r="L870" s="2373"/>
      <c r="M870" s="2373"/>
      <c r="N870" s="2373"/>
      <c r="O870" s="2373"/>
      <c r="P870" s="2373"/>
      <c r="Q870" s="2373"/>
    </row>
    <row r="871" spans="1:17" ht="14.1">
      <c r="A871" s="2373" t="s">
        <v>1432</v>
      </c>
      <c r="B871" s="2373"/>
      <c r="C871" s="2373"/>
      <c r="D871" s="2373"/>
      <c r="E871" s="2373"/>
      <c r="F871" s="2373"/>
      <c r="G871" s="2373"/>
      <c r="H871" s="2373"/>
      <c r="I871" s="2373"/>
      <c r="J871" s="2373"/>
      <c r="K871" s="2373"/>
      <c r="L871" s="2373"/>
      <c r="M871" s="2373"/>
      <c r="N871" s="2373"/>
      <c r="O871" s="2373"/>
      <c r="P871" s="2373"/>
      <c r="Q871" s="2373"/>
    </row>
    <row r="872" spans="1:17" ht="14.1">
      <c r="A872" s="2371"/>
      <c r="B872" s="2371"/>
      <c r="C872" s="2371"/>
      <c r="D872" s="2371"/>
      <c r="E872" s="2371"/>
      <c r="F872" s="2371"/>
      <c r="G872" s="2371"/>
      <c r="H872" s="2371"/>
      <c r="I872" s="2371"/>
      <c r="J872" s="2371"/>
      <c r="K872" s="2371"/>
      <c r="L872" s="2371"/>
      <c r="M872" s="2371"/>
      <c r="N872" s="2371"/>
      <c r="O872" s="2371"/>
      <c r="P872" s="2371"/>
      <c r="Q872" s="2371"/>
    </row>
    <row r="873" spans="1:17" ht="14.1">
      <c r="A873" s="2371"/>
      <c r="B873" s="2371"/>
      <c r="C873" s="2371"/>
      <c r="D873" s="2371"/>
      <c r="E873" s="2371"/>
      <c r="F873" s="2371"/>
      <c r="G873" s="2371"/>
      <c r="H873" s="2371"/>
      <c r="I873" s="2371"/>
      <c r="J873" s="2371"/>
      <c r="K873" s="2371"/>
      <c r="L873" s="2371"/>
      <c r="M873" s="2371"/>
      <c r="N873" s="2371"/>
      <c r="O873" s="2371"/>
      <c r="P873" s="2371"/>
      <c r="Q873" s="2371"/>
    </row>
    <row r="874" spans="1:17" ht="14.1">
      <c r="A874" s="2374" t="s">
        <v>21</v>
      </c>
      <c r="B874" s="2091" t="s">
        <v>1433</v>
      </c>
      <c r="C874" s="2091"/>
      <c r="D874" s="2091"/>
      <c r="E874" s="2091"/>
      <c r="F874" s="2091"/>
      <c r="G874" s="2091"/>
      <c r="H874" s="2086"/>
      <c r="I874" s="2088"/>
      <c r="J874" s="2088"/>
      <c r="K874" s="2088"/>
      <c r="L874" s="2089"/>
      <c r="M874" s="2089"/>
      <c r="N874" s="2086"/>
      <c r="O874" s="2375" t="s">
        <v>1434</v>
      </c>
      <c r="P874" s="2091"/>
      <c r="Q874" s="2091"/>
    </row>
    <row r="875" spans="1:17" ht="14.1">
      <c r="A875" s="2086"/>
      <c r="B875" s="2376" t="s">
        <v>1435</v>
      </c>
      <c r="C875" s="2376"/>
      <c r="D875" s="2376"/>
      <c r="E875" s="2376"/>
      <c r="F875" s="2376"/>
      <c r="G875" s="2088"/>
      <c r="H875" s="2088"/>
      <c r="I875" s="2088"/>
      <c r="J875" s="2088"/>
      <c r="K875" s="2089"/>
      <c r="L875" s="2089"/>
      <c r="M875" s="2089"/>
      <c r="N875" s="2089"/>
      <c r="O875" s="2089"/>
      <c r="P875" s="2089"/>
      <c r="Q875" s="2086"/>
    </row>
    <row r="876" spans="1:17" ht="14.1">
      <c r="A876" s="2086" t="str">
        <f>'Part VII-Threshold Criteria'!A33</f>
        <v xml:space="preserve">The Applicant has submitted an proposal which conforms to the 2024 QAP.   All costs for Development and Construction have been carefully underwritten by experienced estimators.  Federal ($0.80) and State ($0.50)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at time of application (per DCA instructions).  Likewise, utility allowances from DCA North Region have been used as those have been confirmed to be in effect at time of application.  Total Developer Fee and Deferred Developer Fee are within 2024 QAP limits.  This property is ideally situated for a market in great need for new family housing stock.  We have also spent a great amount of time searching for appropriate sites to develope a properly sized development within the constraints of the current construction market, noting the importance of maintaining the quality standards set by DCA and the limited resources available at this time. </v>
      </c>
      <c r="B876" s="2086"/>
      <c r="C876" s="2086"/>
      <c r="D876" s="2086"/>
      <c r="E876" s="2086"/>
      <c r="F876" s="2086"/>
      <c r="G876" s="2086"/>
      <c r="H876" s="2086"/>
      <c r="I876" s="2086"/>
      <c r="J876" s="2086"/>
      <c r="K876" s="2086"/>
      <c r="L876" s="2086"/>
      <c r="M876" s="2086"/>
      <c r="N876" s="2086"/>
      <c r="O876" s="2086"/>
      <c r="P876" s="2086"/>
      <c r="Q876" s="2086"/>
    </row>
    <row r="877" spans="1:17" ht="14.1">
      <c r="A877" s="2086"/>
      <c r="B877" s="2376" t="s">
        <v>1437</v>
      </c>
      <c r="C877" s="2376"/>
      <c r="D877" s="2087"/>
      <c r="E877" s="2087"/>
      <c r="F877" s="2087"/>
      <c r="G877" s="2087"/>
      <c r="H877" s="2087"/>
      <c r="I877" s="2087"/>
      <c r="J877" s="2087"/>
      <c r="K877" s="2087"/>
      <c r="L877" s="2087"/>
      <c r="M877" s="2087"/>
      <c r="N877" s="2087"/>
      <c r="O877" s="2087"/>
      <c r="P877" s="2087"/>
      <c r="Q877" s="2086"/>
    </row>
    <row r="878" spans="1:17" ht="14.1">
      <c r="A878" s="2086"/>
      <c r="B878" s="2086"/>
      <c r="C878" s="2086"/>
      <c r="D878" s="2086"/>
      <c r="E878" s="2086"/>
      <c r="F878" s="2086"/>
      <c r="G878" s="2086"/>
      <c r="H878" s="2086"/>
      <c r="I878" s="2086"/>
      <c r="J878" s="2086"/>
      <c r="K878" s="2086"/>
      <c r="L878" s="2086"/>
      <c r="M878" s="2086"/>
      <c r="N878" s="2086"/>
      <c r="O878" s="2086"/>
      <c r="P878" s="2086"/>
      <c r="Q878" s="2086"/>
    </row>
    <row r="879" spans="1:17" ht="14.1">
      <c r="A879" s="2086"/>
      <c r="B879" s="2088"/>
      <c r="C879" s="2087"/>
      <c r="D879" s="2087"/>
      <c r="E879" s="2087"/>
      <c r="F879" s="2087"/>
      <c r="G879" s="2087"/>
      <c r="H879" s="2087"/>
      <c r="I879" s="2087"/>
      <c r="J879" s="2087"/>
      <c r="K879" s="2087"/>
      <c r="L879" s="2087"/>
      <c r="M879" s="2087"/>
      <c r="N879" s="2087"/>
      <c r="O879" s="2087"/>
      <c r="P879" s="2087"/>
      <c r="Q879" s="2089"/>
    </row>
    <row r="880" spans="1:17" ht="14.1">
      <c r="A880" s="2086"/>
      <c r="B880" s="2088"/>
      <c r="C880" s="2087"/>
      <c r="D880" s="2087"/>
      <c r="E880" s="2087"/>
      <c r="F880" s="2087"/>
      <c r="G880" s="2087"/>
      <c r="H880" s="2087"/>
      <c r="I880" s="2087"/>
      <c r="J880" s="2087"/>
      <c r="K880" s="2087"/>
      <c r="L880" s="2087"/>
      <c r="M880" s="2087"/>
      <c r="N880" s="2087"/>
      <c r="O880" s="2087"/>
      <c r="P880" s="2087"/>
      <c r="Q880" s="2089"/>
    </row>
    <row r="881" spans="1:17" ht="14.1">
      <c r="A881" s="2374" t="s">
        <v>25</v>
      </c>
      <c r="B881" s="2091" t="s">
        <v>1438</v>
      </c>
      <c r="C881" s="2091"/>
      <c r="D881" s="2091"/>
      <c r="E881" s="2087"/>
      <c r="F881" s="2087"/>
      <c r="G881" s="2087"/>
      <c r="H881" s="2086"/>
      <c r="I881" s="2086"/>
      <c r="J881" s="2086"/>
      <c r="K881" s="2086"/>
      <c r="L881" s="2086"/>
      <c r="M881" s="2086"/>
      <c r="N881" s="2086"/>
      <c r="O881" s="2375" t="s">
        <v>1434</v>
      </c>
      <c r="P881" s="2091"/>
      <c r="Q881" s="2091"/>
    </row>
    <row r="882" spans="1:17" ht="14.1">
      <c r="A882" s="2374"/>
      <c r="B882" s="2086" t="s">
        <v>2272</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1">
      <c r="A883" s="2086"/>
      <c r="B883" s="2377" t="s">
        <v>1440</v>
      </c>
      <c r="C883" s="2086"/>
      <c r="D883" s="2377"/>
      <c r="E883" s="2377"/>
      <c r="F883" s="2377"/>
      <c r="G883" s="2377"/>
      <c r="H883" s="2087"/>
      <c r="I883" s="2088"/>
      <c r="J883" s="2088"/>
      <c r="K883" s="2086"/>
      <c r="L883" s="2086"/>
      <c r="M883" s="2086"/>
      <c r="N883" s="2086"/>
      <c r="O883" s="2086"/>
      <c r="P883" s="2086"/>
      <c r="Q883" s="2086"/>
    </row>
    <row r="884" spans="1:17" ht="14.1">
      <c r="A884" s="2086" t="str">
        <f>'Part VII-Threshold Criteria'!A41</f>
        <v xml:space="preserve">New affordability Family. </v>
      </c>
      <c r="B884" s="2086"/>
      <c r="C884" s="2086"/>
      <c r="D884" s="2086"/>
      <c r="E884" s="2086"/>
      <c r="F884" s="2086"/>
      <c r="G884" s="2086"/>
      <c r="H884" s="2086"/>
      <c r="I884" s="2086"/>
      <c r="J884" s="2086"/>
      <c r="K884" s="2086"/>
      <c r="L884" s="2086"/>
      <c r="M884" s="2086"/>
      <c r="N884" s="2086"/>
      <c r="O884" s="2086"/>
      <c r="P884" s="2086"/>
      <c r="Q884" s="2086"/>
    </row>
    <row r="885" spans="1:17" ht="14.1">
      <c r="A885" s="2089"/>
      <c r="B885" s="2376" t="s">
        <v>1437</v>
      </c>
      <c r="C885" s="2089"/>
      <c r="D885" s="2089"/>
      <c r="E885" s="2089"/>
      <c r="F885" s="2089"/>
      <c r="G885" s="2089"/>
      <c r="H885" s="2089"/>
      <c r="I885" s="2087"/>
      <c r="J885" s="2087"/>
      <c r="K885" s="2087"/>
      <c r="L885" s="2087"/>
      <c r="M885" s="2087"/>
      <c r="N885" s="2087"/>
      <c r="O885" s="2087"/>
      <c r="P885" s="2087"/>
      <c r="Q885" s="2089"/>
    </row>
    <row r="886" spans="1:17" ht="14.1">
      <c r="A886" s="2086"/>
      <c r="B886" s="2086"/>
      <c r="C886" s="2086"/>
      <c r="D886" s="2086"/>
      <c r="E886" s="2086"/>
      <c r="F886" s="2086"/>
      <c r="G886" s="2086"/>
      <c r="H886" s="2086"/>
      <c r="I886" s="2086"/>
      <c r="J886" s="2086"/>
      <c r="K886" s="2086"/>
      <c r="L886" s="2086"/>
      <c r="M886" s="2086"/>
      <c r="N886" s="2086"/>
      <c r="O886" s="2086"/>
      <c r="P886" s="2086"/>
      <c r="Q886" s="2086"/>
    </row>
    <row r="887" spans="1:17" ht="14.1">
      <c r="A887" s="2089"/>
      <c r="B887" s="2087"/>
      <c r="C887" s="2087"/>
      <c r="D887" s="2087"/>
      <c r="E887" s="2087"/>
      <c r="F887" s="2087"/>
      <c r="G887" s="2087"/>
      <c r="H887" s="2087"/>
      <c r="I887" s="2087"/>
      <c r="J887" s="2087"/>
      <c r="K887" s="2087"/>
      <c r="L887" s="2087"/>
      <c r="M887" s="2087"/>
      <c r="N887" s="2087"/>
      <c r="O887" s="2087"/>
      <c r="P887" s="2087"/>
      <c r="Q887" s="2089"/>
    </row>
    <row r="888" spans="1:17" ht="14.1">
      <c r="A888" s="2086"/>
      <c r="B888" s="2088"/>
      <c r="C888" s="2087"/>
      <c r="D888" s="2087"/>
      <c r="E888" s="2087"/>
      <c r="F888" s="2087"/>
      <c r="G888" s="2087"/>
      <c r="H888" s="2087"/>
      <c r="I888" s="2087"/>
      <c r="J888" s="2087"/>
      <c r="K888" s="2087"/>
      <c r="L888" s="2087"/>
      <c r="M888" s="2087"/>
      <c r="N888" s="2087"/>
      <c r="O888" s="2087"/>
      <c r="P888" s="2087"/>
      <c r="Q888" s="2089"/>
    </row>
    <row r="889" spans="1:17" ht="14.1">
      <c r="A889" s="2374" t="s">
        <v>32</v>
      </c>
      <c r="B889" s="2374" t="s">
        <v>1442</v>
      </c>
      <c r="C889" s="2374"/>
      <c r="D889" s="2087"/>
      <c r="E889" s="2087"/>
      <c r="F889" s="2087"/>
      <c r="G889" s="2087"/>
      <c r="H889" s="2087"/>
      <c r="I889" s="2087"/>
      <c r="J889" s="2087"/>
      <c r="K889" s="2086"/>
      <c r="L889" s="2378"/>
      <c r="M889" s="2379"/>
      <c r="N889" s="2086"/>
      <c r="O889" s="2375" t="s">
        <v>1434</v>
      </c>
      <c r="P889" s="2091"/>
      <c r="Q889" s="2091"/>
    </row>
    <row r="890" spans="1:17" ht="14.1">
      <c r="A890" s="2375"/>
      <c r="B890" s="2087" t="s">
        <v>1443</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1">
      <c r="A891" s="2086"/>
      <c r="B891" s="2377" t="s">
        <v>1440</v>
      </c>
      <c r="C891" s="2086"/>
      <c r="D891" s="2377"/>
      <c r="E891" s="2377"/>
      <c r="F891" s="2377"/>
      <c r="G891" s="2377"/>
      <c r="H891" s="2087"/>
      <c r="I891" s="2088"/>
      <c r="J891" s="2088"/>
      <c r="K891" s="2376" t="s">
        <v>1437</v>
      </c>
      <c r="L891" s="2089"/>
      <c r="M891" s="2089"/>
      <c r="N891" s="2089"/>
      <c r="O891" s="2089"/>
      <c r="P891" s="2089"/>
      <c r="Q891" s="2089"/>
    </row>
    <row r="892" spans="1:17" ht="14.1">
      <c r="A892" s="2086" t="str">
        <f>'Part VII-Threshold Criteria'!A49</f>
        <v>CAHEC Management and owner will meet all QAP repuirements</v>
      </c>
      <c r="B892" s="2086"/>
      <c r="C892" s="2086"/>
      <c r="D892" s="2086"/>
      <c r="E892" s="2086"/>
      <c r="F892" s="2086"/>
      <c r="G892" s="2086"/>
      <c r="H892" s="2086"/>
      <c r="I892" s="2086"/>
      <c r="J892" s="2086"/>
      <c r="K892" s="2086"/>
      <c r="L892" s="2086"/>
      <c r="M892" s="2086"/>
      <c r="N892" s="2086"/>
      <c r="O892" s="2086"/>
      <c r="P892" s="2086"/>
      <c r="Q892" s="2086"/>
    </row>
    <row r="893" spans="1:17" ht="14.1">
      <c r="A893" s="2089"/>
      <c r="B893" s="2088"/>
      <c r="C893" s="2087"/>
      <c r="D893" s="2087"/>
      <c r="E893" s="2087"/>
      <c r="F893" s="2087"/>
      <c r="G893" s="2087"/>
      <c r="H893" s="2087"/>
      <c r="I893" s="2087"/>
      <c r="J893" s="2087"/>
      <c r="K893" s="2087"/>
      <c r="L893" s="2087"/>
      <c r="M893" s="2087"/>
      <c r="N893" s="2087"/>
      <c r="O893" s="2087"/>
      <c r="P893" s="2087"/>
      <c r="Q893" s="2089"/>
    </row>
    <row r="894" spans="1:17" ht="14.1">
      <c r="A894" s="2374"/>
      <c r="B894" s="2088"/>
      <c r="C894" s="2087"/>
      <c r="D894" s="2087"/>
      <c r="E894" s="2087"/>
      <c r="F894" s="2087"/>
      <c r="G894" s="2087"/>
      <c r="H894" s="2087"/>
      <c r="I894" s="2087"/>
      <c r="J894" s="2087"/>
      <c r="K894" s="2087"/>
      <c r="L894" s="2087"/>
      <c r="M894" s="2087"/>
      <c r="N894" s="2087"/>
      <c r="O894" s="2087"/>
      <c r="P894" s="2087"/>
      <c r="Q894" s="2089"/>
    </row>
    <row r="895" spans="1:17" ht="14.1">
      <c r="A895" s="2374" t="s">
        <v>52</v>
      </c>
      <c r="B895" s="2374" t="s">
        <v>1445</v>
      </c>
      <c r="C895" s="2374"/>
      <c r="D895" s="2087"/>
      <c r="E895" s="2087"/>
      <c r="F895" s="2087"/>
      <c r="G895" s="2087"/>
      <c r="H895" s="2089"/>
      <c r="I895" s="2086"/>
      <c r="J895" s="2375"/>
      <c r="K895" s="2091"/>
      <c r="L895" s="2375"/>
      <c r="M895" s="2374"/>
      <c r="N895" s="2086"/>
      <c r="O895" s="2375" t="s">
        <v>1434</v>
      </c>
      <c r="P895" s="2091"/>
      <c r="Q895" s="2091"/>
    </row>
    <row r="896" spans="1:17" ht="14.25" customHeight="1">
      <c r="A896" s="2375"/>
      <c r="B896" s="2086" t="s">
        <v>1446</v>
      </c>
      <c r="C896" s="2086"/>
      <c r="D896" s="2086"/>
      <c r="E896" s="2086"/>
      <c r="F896" s="2086"/>
      <c r="G896" s="2086"/>
      <c r="H896" s="2086"/>
      <c r="I896" s="2373" t="str">
        <f>'Part VII-Threshold Criteria'!I53</f>
        <v>Real Property Research Group</v>
      </c>
      <c r="J896" s="2373"/>
      <c r="K896" s="2373"/>
      <c r="L896" s="2373"/>
      <c r="M896" s="2373"/>
      <c r="N896" s="2373"/>
      <c r="O896" s="2373"/>
      <c r="P896" s="2373"/>
      <c r="Q896" s="2373"/>
    </row>
    <row r="897" spans="1:17" ht="14.1">
      <c r="A897" s="2375"/>
      <c r="B897" s="2086" t="s">
        <v>1448</v>
      </c>
      <c r="C897" s="2086"/>
      <c r="D897" s="2086"/>
      <c r="E897" s="2086"/>
      <c r="F897" s="2086"/>
      <c r="G897" s="2086"/>
      <c r="H897" s="2086"/>
      <c r="I897" s="2086">
        <f>'Part VII-Threshold Criteria'!I54</f>
        <v>99.2</v>
      </c>
      <c r="J897" s="2086"/>
      <c r="K897" s="2086"/>
      <c r="L897" s="2380"/>
      <c r="M897" s="2381"/>
      <c r="N897" s="2381"/>
      <c r="O897" s="2381"/>
      <c r="P897" s="2381"/>
      <c r="Q897" s="2089"/>
    </row>
    <row r="898" spans="1:17" ht="14.1">
      <c r="A898" s="2375"/>
      <c r="B898" s="2086" t="s">
        <v>1449</v>
      </c>
      <c r="C898" s="2086"/>
      <c r="D898" s="2086"/>
      <c r="E898" s="2086"/>
      <c r="F898" s="2086"/>
      <c r="G898" s="2086"/>
      <c r="H898" s="2380" t="s">
        <v>1450</v>
      </c>
      <c r="I898" s="2086">
        <f>'Part VII-Threshold Criteria'!I55</f>
        <v>8.5</v>
      </c>
      <c r="J898" s="2086"/>
      <c r="K898" s="2086"/>
      <c r="L898" s="2381"/>
      <c r="M898" s="2382" t="s">
        <v>1451</v>
      </c>
      <c r="N898" s="2086">
        <f>'Part VII-Threshold Criteria'!N55</f>
        <v>0.5</v>
      </c>
      <c r="O898" s="2086"/>
      <c r="P898" s="2086"/>
      <c r="Q898" s="2086"/>
    </row>
    <row r="899" spans="1:17" ht="14.1">
      <c r="A899" s="2086"/>
      <c r="B899" s="2377" t="s">
        <v>1440</v>
      </c>
      <c r="C899" s="2086"/>
      <c r="D899" s="2377"/>
      <c r="E899" s="2377"/>
      <c r="F899" s="2377"/>
      <c r="G899" s="2377"/>
      <c r="H899" s="2087"/>
      <c r="I899" s="2088"/>
      <c r="J899" s="2088"/>
      <c r="K899" s="2088"/>
      <c r="L899" s="2089"/>
      <c r="M899" s="2089"/>
      <c r="N899" s="2089"/>
      <c r="O899" s="2089"/>
      <c r="P899" s="2089"/>
      <c r="Q899" s="2089"/>
    </row>
    <row r="900" spans="1:17" ht="14.1">
      <c r="A900" s="2086" t="str">
        <f>'Part VII-Threshold Criteria'!A57</f>
        <v>All capture rates are well below DCA thresholds with strong market area occupancy.  Mkt analyst recommends proceeding as proposed.</v>
      </c>
      <c r="B900" s="2086"/>
      <c r="C900" s="2086"/>
      <c r="D900" s="2086"/>
      <c r="E900" s="2086"/>
      <c r="F900" s="2086"/>
      <c r="G900" s="2086"/>
      <c r="H900" s="2086"/>
      <c r="I900" s="2086"/>
      <c r="J900" s="2086"/>
      <c r="K900" s="2086"/>
      <c r="L900" s="2086"/>
      <c r="M900" s="2086"/>
      <c r="N900" s="2086"/>
      <c r="O900" s="2086"/>
      <c r="P900" s="2086"/>
      <c r="Q900" s="2086"/>
    </row>
    <row r="901" spans="1:17" ht="14.1">
      <c r="A901" s="2086"/>
      <c r="B901" s="2376" t="s">
        <v>1437</v>
      </c>
      <c r="C901" s="2376"/>
      <c r="D901" s="2087"/>
      <c r="E901" s="2087"/>
      <c r="F901" s="2087"/>
      <c r="G901" s="2087"/>
      <c r="H901" s="2087"/>
      <c r="I901" s="2087"/>
      <c r="J901" s="2087"/>
      <c r="K901" s="2087"/>
      <c r="L901" s="2087"/>
      <c r="M901" s="2087"/>
      <c r="N901" s="2087"/>
      <c r="O901" s="2087"/>
      <c r="P901" s="2087"/>
      <c r="Q901" s="2087"/>
    </row>
    <row r="902" spans="1:17" ht="14.1">
      <c r="A902" s="2086"/>
      <c r="B902" s="2086"/>
      <c r="C902" s="2086"/>
      <c r="D902" s="2086"/>
      <c r="E902" s="2086"/>
      <c r="F902" s="2086"/>
      <c r="G902" s="2086"/>
      <c r="H902" s="2086"/>
      <c r="I902" s="2086"/>
      <c r="J902" s="2086"/>
      <c r="K902" s="2086"/>
      <c r="L902" s="2086"/>
      <c r="M902" s="2086"/>
      <c r="N902" s="2086"/>
      <c r="O902" s="2086"/>
      <c r="P902" s="2086"/>
      <c r="Q902" s="2086"/>
    </row>
    <row r="903" spans="1:17" ht="14.1">
      <c r="A903" s="2087"/>
      <c r="B903" s="2087"/>
      <c r="C903" s="2087"/>
      <c r="D903" s="2087"/>
      <c r="E903" s="2087"/>
      <c r="F903" s="2087"/>
      <c r="G903" s="2087"/>
      <c r="H903" s="2087"/>
      <c r="I903" s="2087"/>
      <c r="J903" s="2087"/>
      <c r="K903" s="2087"/>
      <c r="L903" s="2087"/>
      <c r="M903" s="2087"/>
      <c r="N903" s="2087"/>
      <c r="O903" s="2087"/>
      <c r="P903" s="2087"/>
      <c r="Q903" s="2087"/>
    </row>
    <row r="904" spans="1:17" ht="14.1">
      <c r="A904" s="2374"/>
      <c r="B904" s="2087"/>
      <c r="C904" s="2087"/>
      <c r="D904" s="2087"/>
      <c r="E904" s="2087"/>
      <c r="F904" s="2087"/>
      <c r="G904" s="2087"/>
      <c r="H904" s="2087"/>
      <c r="I904" s="2087"/>
      <c r="J904" s="2087"/>
      <c r="K904" s="2087"/>
      <c r="L904" s="2087"/>
      <c r="M904" s="2087"/>
      <c r="N904" s="2087"/>
      <c r="O904" s="2087"/>
      <c r="P904" s="2087"/>
      <c r="Q904" s="2087"/>
    </row>
    <row r="905" spans="1:17" ht="14.1">
      <c r="A905" s="2374" t="s">
        <v>70</v>
      </c>
      <c r="B905" s="2374" t="s">
        <v>1453</v>
      </c>
      <c r="C905" s="2374"/>
      <c r="D905" s="2087"/>
      <c r="E905" s="2087"/>
      <c r="F905" s="2087"/>
      <c r="G905" s="2087"/>
      <c r="H905" s="2087"/>
      <c r="I905" s="2087"/>
      <c r="J905" s="2087"/>
      <c r="K905" s="2087"/>
      <c r="L905" s="2087"/>
      <c r="M905" s="2087"/>
      <c r="N905" s="2086"/>
      <c r="O905" s="2375" t="s">
        <v>1434</v>
      </c>
      <c r="P905" s="2091"/>
      <c r="Q905" s="2091"/>
    </row>
    <row r="906" spans="1:17" ht="14.1">
      <c r="A906" s="2375"/>
      <c r="B906" s="2086" t="s">
        <v>1454</v>
      </c>
      <c r="C906" s="2086"/>
      <c r="D906" s="2086"/>
      <c r="E906" s="2086"/>
      <c r="F906" s="2086"/>
      <c r="G906" s="2086"/>
      <c r="H906" s="2086"/>
      <c r="I906" s="2086"/>
      <c r="J906" s="2086">
        <f>'Part VII-Threshold Criteria'!J63</f>
        <v>0</v>
      </c>
      <c r="K906" s="2086"/>
      <c r="L906" s="2086"/>
      <c r="M906" s="2086"/>
      <c r="N906" s="2086"/>
      <c r="O906" s="2086"/>
      <c r="P906" s="2086"/>
      <c r="Q906" s="2086"/>
    </row>
    <row r="907" spans="1:17" ht="14.1">
      <c r="A907" s="2375"/>
      <c r="B907" s="2086" t="s">
        <v>1455</v>
      </c>
      <c r="C907" s="2086"/>
      <c r="D907" s="2086"/>
      <c r="E907" s="2086"/>
      <c r="F907" s="2086"/>
      <c r="G907" s="2086"/>
      <c r="H907" s="2086"/>
      <c r="I907" s="2086"/>
      <c r="J907" s="2086"/>
      <c r="K907" s="2086"/>
      <c r="L907" s="2086"/>
      <c r="M907" s="2086"/>
      <c r="N907" s="2086"/>
      <c r="O907" s="2380"/>
      <c r="P907" s="2089">
        <f>'Part VII-Threshold Criteria'!P64</f>
        <v>0</v>
      </c>
      <c r="Q907" s="2089"/>
    </row>
    <row r="908" spans="1:17" ht="14.25" customHeight="1">
      <c r="A908" s="2086"/>
      <c r="B908" s="2374"/>
      <c r="C908" s="2086" t="s">
        <v>1456</v>
      </c>
      <c r="D908" s="2086"/>
      <c r="E908" s="2086"/>
      <c r="F908" s="2086"/>
      <c r="G908" s="2086"/>
      <c r="H908" s="2086"/>
      <c r="I908" s="2086"/>
      <c r="J908" s="2086"/>
      <c r="K908" s="2086"/>
      <c r="L908" s="2086"/>
      <c r="M908" s="2086"/>
      <c r="N908" s="2086"/>
      <c r="O908" s="2086"/>
      <c r="P908" s="2089">
        <f>'Part VII-Threshold Criteria'!P65</f>
        <v>0</v>
      </c>
      <c r="Q908" s="2089"/>
    </row>
    <row r="909" spans="1:17" ht="14.1">
      <c r="A909" s="2086"/>
      <c r="B909" s="2377" t="s">
        <v>1435</v>
      </c>
      <c r="C909" s="2086"/>
      <c r="D909" s="2377"/>
      <c r="E909" s="2377"/>
      <c r="F909" s="2377"/>
      <c r="G909" s="2377"/>
      <c r="H909" s="2087"/>
      <c r="I909" s="2088"/>
      <c r="J909" s="2088"/>
      <c r="K909" s="2088"/>
      <c r="L909" s="2089"/>
      <c r="M909" s="2089"/>
      <c r="N909" s="2089"/>
      <c r="O909" s="2089"/>
      <c r="P909" s="2089"/>
      <c r="Q909" s="2089"/>
    </row>
    <row r="910" spans="1:17" ht="14.1">
      <c r="A910" s="2086" t="str">
        <f>'Part VII-Threshold Criteria'!A67</f>
        <v xml:space="preserve">Not applicable at time of the 2024 application. </v>
      </c>
      <c r="B910" s="2086"/>
      <c r="C910" s="2086"/>
      <c r="D910" s="2086"/>
      <c r="E910" s="2086"/>
      <c r="F910" s="2086"/>
      <c r="G910" s="2086"/>
      <c r="H910" s="2086"/>
      <c r="I910" s="2086"/>
      <c r="J910" s="2086"/>
      <c r="K910" s="2086"/>
      <c r="L910" s="2086"/>
      <c r="M910" s="2086"/>
      <c r="N910" s="2086"/>
      <c r="O910" s="2086"/>
      <c r="P910" s="2086"/>
      <c r="Q910" s="2086"/>
    </row>
    <row r="911" spans="1:17" ht="14.1">
      <c r="A911" s="2086"/>
      <c r="B911" s="2376" t="s">
        <v>1437</v>
      </c>
      <c r="C911" s="2376"/>
      <c r="D911" s="2087"/>
      <c r="E911" s="2087"/>
      <c r="F911" s="2087"/>
      <c r="G911" s="2087"/>
      <c r="H911" s="2087"/>
      <c r="I911" s="2087"/>
      <c r="J911" s="2087"/>
      <c r="K911" s="2087"/>
      <c r="L911" s="2087"/>
      <c r="M911" s="2087"/>
      <c r="N911" s="2087"/>
      <c r="O911" s="2087"/>
      <c r="P911" s="2087"/>
      <c r="Q911" s="2087"/>
    </row>
    <row r="912" spans="1:17" ht="14.1">
      <c r="A912" s="2086"/>
      <c r="B912" s="2086"/>
      <c r="C912" s="2086"/>
      <c r="D912" s="2086"/>
      <c r="E912" s="2086"/>
      <c r="F912" s="2086"/>
      <c r="G912" s="2086"/>
      <c r="H912" s="2086"/>
      <c r="I912" s="2086"/>
      <c r="J912" s="2086"/>
      <c r="K912" s="2086"/>
      <c r="L912" s="2086"/>
      <c r="M912" s="2086"/>
      <c r="N912" s="2086"/>
      <c r="O912" s="2086"/>
      <c r="P912" s="2086"/>
      <c r="Q912" s="2086"/>
    </row>
    <row r="913" spans="1:17" ht="14.1">
      <c r="A913" s="2086"/>
      <c r="B913" s="2086"/>
      <c r="C913" s="2086"/>
      <c r="D913" s="2086"/>
      <c r="E913" s="2086"/>
      <c r="F913" s="2086"/>
      <c r="G913" s="2086"/>
      <c r="H913" s="2086"/>
      <c r="I913" s="2086"/>
      <c r="J913" s="2086"/>
      <c r="K913" s="2086"/>
      <c r="L913" s="2086"/>
      <c r="M913" s="2086"/>
      <c r="N913" s="2086"/>
      <c r="O913" s="2086"/>
      <c r="P913" s="2086"/>
      <c r="Q913" s="2086"/>
    </row>
    <row r="914" spans="1:17" ht="14.1">
      <c r="A914" s="2086"/>
      <c r="B914" s="2086"/>
      <c r="C914" s="2086"/>
      <c r="D914" s="2086"/>
      <c r="E914" s="2086"/>
      <c r="F914" s="2086"/>
      <c r="G914" s="2086"/>
      <c r="H914" s="2086"/>
      <c r="I914" s="2086"/>
      <c r="J914" s="2086"/>
      <c r="K914" s="2086"/>
      <c r="L914" s="2086"/>
      <c r="M914" s="2086"/>
      <c r="N914" s="2086"/>
      <c r="O914" s="2086"/>
      <c r="P914" s="2086"/>
      <c r="Q914" s="2086"/>
    </row>
    <row r="915" spans="1:17" ht="14.1">
      <c r="A915" s="2374" t="s">
        <v>79</v>
      </c>
      <c r="B915" s="2374" t="s">
        <v>1458</v>
      </c>
      <c r="C915" s="2087"/>
      <c r="D915" s="2087"/>
      <c r="E915" s="2087"/>
      <c r="F915" s="2087"/>
      <c r="G915" s="2087"/>
      <c r="H915" s="2087"/>
      <c r="I915" s="2087"/>
      <c r="J915" s="2087"/>
      <c r="K915" s="2087"/>
      <c r="L915" s="2087"/>
      <c r="M915" s="2087"/>
      <c r="N915" s="2086"/>
      <c r="O915" s="2375" t="s">
        <v>1434</v>
      </c>
      <c r="P915" s="2091"/>
      <c r="Q915" s="2091"/>
    </row>
    <row r="916" spans="1:17" ht="14.25" customHeight="1">
      <c r="A916" s="2375"/>
      <c r="B916" s="2086" t="s">
        <v>1459</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4.1">
      <c r="A917" s="2086"/>
      <c r="B917" s="2086" t="s">
        <v>1461</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4.1">
      <c r="A918" s="2375"/>
      <c r="B918" s="2086" t="s">
        <v>1462</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4.1">
      <c r="A919" s="2375"/>
      <c r="B919" s="2086" t="s">
        <v>1463</v>
      </c>
      <c r="C919" s="2086"/>
      <c r="D919" s="2086"/>
      <c r="E919" s="2086"/>
      <c r="F919" s="2086"/>
      <c r="G919" s="2086"/>
      <c r="H919" s="2086"/>
      <c r="I919" s="2086"/>
      <c r="J919" s="2086"/>
      <c r="K919" s="2086"/>
      <c r="L919" s="2087"/>
      <c r="M919" s="2087"/>
      <c r="N919" s="2087"/>
      <c r="O919" s="2380"/>
      <c r="P919" s="2086"/>
      <c r="Q919" s="2086"/>
    </row>
    <row r="920" spans="1:17" ht="14.1">
      <c r="A920" s="2375"/>
      <c r="B920" s="2374"/>
      <c r="C920" s="2086" t="s">
        <v>1464</v>
      </c>
      <c r="D920" s="2086"/>
      <c r="E920" s="2086"/>
      <c r="F920" s="2086"/>
      <c r="G920" s="2086"/>
      <c r="H920" s="2086"/>
      <c r="I920" s="2086"/>
      <c r="J920" s="2086"/>
      <c r="K920" s="2086"/>
      <c r="L920" s="2087"/>
      <c r="M920" s="2087"/>
      <c r="N920" s="2086"/>
      <c r="O920" s="2380"/>
      <c r="P920" s="2089" t="str">
        <f>'Part VII-Threshold Criteria'!P77</f>
        <v>No</v>
      </c>
      <c r="Q920" s="2089"/>
    </row>
    <row r="921" spans="1:17" ht="14.1">
      <c r="A921" s="2375"/>
      <c r="B921" s="2374"/>
      <c r="C921" s="2086" t="s">
        <v>1465</v>
      </c>
      <c r="D921" s="2086"/>
      <c r="E921" s="2086"/>
      <c r="F921" s="2086"/>
      <c r="G921" s="2086"/>
      <c r="H921" s="2086"/>
      <c r="I921" s="2086"/>
      <c r="J921" s="2086"/>
      <c r="K921" s="2086"/>
      <c r="L921" s="2087"/>
      <c r="M921" s="2087"/>
      <c r="N921" s="2086"/>
      <c r="O921" s="2380"/>
      <c r="P921" s="2089" t="str">
        <f>'Part VII-Threshold Criteria'!P78</f>
        <v>No</v>
      </c>
      <c r="Q921" s="2089"/>
    </row>
    <row r="922" spans="1:17" ht="14.1">
      <c r="A922" s="2116"/>
      <c r="B922" s="2384"/>
      <c r="C922" s="2384"/>
      <c r="D922" s="2372" t="s">
        <v>1466</v>
      </c>
      <c r="E922" s="2385"/>
      <c r="F922" s="2385"/>
      <c r="G922" s="2372"/>
      <c r="H922" s="2372"/>
      <c r="I922" s="2566"/>
      <c r="J922" s="2373"/>
      <c r="K922" s="2373"/>
      <c r="L922" s="2566"/>
      <c r="M922" s="2566"/>
      <c r="N922" s="2373"/>
      <c r="O922" s="2386"/>
      <c r="P922" s="2089">
        <f>'Part VII-Threshold Criteria'!P79</f>
        <v>0</v>
      </c>
      <c r="Q922" s="2387"/>
    </row>
    <row r="923" spans="1:17" ht="14.1">
      <c r="A923" s="2375"/>
      <c r="B923" s="2374"/>
      <c r="C923" s="2086" t="s">
        <v>1467</v>
      </c>
      <c r="D923" s="2086"/>
      <c r="E923" s="2086"/>
      <c r="F923" s="2086"/>
      <c r="G923" s="2086"/>
      <c r="H923" s="2086"/>
      <c r="I923" s="2086"/>
      <c r="J923" s="2086"/>
      <c r="K923" s="2086"/>
      <c r="L923" s="2087"/>
      <c r="M923" s="2087"/>
      <c r="N923" s="2086"/>
      <c r="O923" s="2380"/>
      <c r="P923" s="2089" t="str">
        <f>'Part VII-Threshold Criteria'!P80</f>
        <v>No</v>
      </c>
      <c r="Q923" s="2089"/>
    </row>
    <row r="924" spans="1:17" ht="14.25" customHeight="1">
      <c r="A924" s="2375"/>
      <c r="B924" s="2086" t="s">
        <v>1468</v>
      </c>
      <c r="C924" s="2086"/>
      <c r="D924" s="2086"/>
      <c r="E924" s="2086"/>
      <c r="F924" s="2086"/>
      <c r="G924" s="2086"/>
      <c r="H924" s="2086"/>
      <c r="I924" s="2086"/>
      <c r="J924" s="2086"/>
      <c r="K924" s="2086"/>
      <c r="L924" s="2086"/>
      <c r="M924" s="2086"/>
      <c r="N924" s="2086"/>
      <c r="O924" s="2086"/>
      <c r="P924" s="2086"/>
      <c r="Q924" s="2086"/>
    </row>
    <row r="925" spans="1:17" ht="14.1">
      <c r="A925" s="2086"/>
      <c r="B925" s="2086">
        <f>'Part VII-Threshold Criteria'!B82</f>
        <v>0</v>
      </c>
      <c r="C925" s="2086"/>
      <c r="D925" s="2086"/>
      <c r="E925" s="2086"/>
      <c r="F925" s="2086"/>
      <c r="G925" s="2086"/>
      <c r="H925" s="2086"/>
      <c r="I925" s="2086"/>
      <c r="J925" s="2086"/>
      <c r="K925" s="2086"/>
      <c r="L925" s="2086"/>
      <c r="M925" s="2086"/>
      <c r="N925" s="2086"/>
      <c r="O925" s="2086"/>
      <c r="P925" s="2086"/>
      <c r="Q925" s="2086"/>
    </row>
    <row r="926" spans="1:17" ht="14.1">
      <c r="A926" s="2086"/>
      <c r="B926" s="2377" t="s">
        <v>1440</v>
      </c>
      <c r="C926" s="2086"/>
      <c r="D926" s="2377"/>
      <c r="E926" s="2377"/>
      <c r="F926" s="2377"/>
      <c r="G926" s="2377"/>
      <c r="H926" s="2087"/>
      <c r="I926" s="2088"/>
      <c r="J926" s="2088"/>
      <c r="K926" s="2088"/>
      <c r="L926" s="2089"/>
      <c r="M926" s="2089"/>
      <c r="N926" s="2089"/>
      <c r="O926" s="2089"/>
      <c r="P926" s="2089"/>
      <c r="Q926" s="2089"/>
    </row>
    <row r="927" spans="1:17" ht="14.1">
      <c r="A927" s="2086" t="str">
        <f>'Part VII-Threshold Criteria'!A84</f>
        <v>Phase 1 completed on May 09, 2024 and included in the appropriate project folder for review. There are no recognized environmental conditions associated with the subject property and no further environmental study is recommended</v>
      </c>
      <c r="B927" s="2086"/>
      <c r="C927" s="2086"/>
      <c r="D927" s="2086"/>
      <c r="E927" s="2086"/>
      <c r="F927" s="2086"/>
      <c r="G927" s="2086"/>
      <c r="H927" s="2086"/>
      <c r="I927" s="2086"/>
      <c r="J927" s="2086"/>
      <c r="K927" s="2086"/>
      <c r="L927" s="2086"/>
      <c r="M927" s="2086"/>
      <c r="N927" s="2086"/>
      <c r="O927" s="2086"/>
      <c r="P927" s="2086"/>
      <c r="Q927" s="2086"/>
    </row>
    <row r="928" spans="1:17" ht="14.1">
      <c r="A928" s="2086"/>
      <c r="B928" s="2376" t="s">
        <v>1437</v>
      </c>
      <c r="C928" s="2376"/>
      <c r="D928" s="2087"/>
      <c r="E928" s="2087"/>
      <c r="F928" s="2087"/>
      <c r="G928" s="2087"/>
      <c r="H928" s="2087"/>
      <c r="I928" s="2087"/>
      <c r="J928" s="2087"/>
      <c r="K928" s="2087"/>
      <c r="L928" s="2087"/>
      <c r="M928" s="2087"/>
      <c r="N928" s="2087"/>
      <c r="O928" s="2087"/>
      <c r="P928" s="2087"/>
      <c r="Q928" s="2087"/>
    </row>
    <row r="929" spans="1:17" ht="14.1">
      <c r="A929" s="2086"/>
      <c r="B929" s="2086"/>
      <c r="C929" s="2086"/>
      <c r="D929" s="2086"/>
      <c r="E929" s="2086"/>
      <c r="F929" s="2086"/>
      <c r="G929" s="2086"/>
      <c r="H929" s="2086"/>
      <c r="I929" s="2086"/>
      <c r="J929" s="2086"/>
      <c r="K929" s="2086"/>
      <c r="L929" s="2086"/>
      <c r="M929" s="2086"/>
      <c r="N929" s="2086"/>
      <c r="O929" s="2086"/>
      <c r="P929" s="2086"/>
      <c r="Q929" s="2086"/>
    </row>
    <row r="930" spans="1:17" ht="14.1">
      <c r="A930" s="2089"/>
      <c r="B930" s="2088"/>
      <c r="C930" s="2087"/>
      <c r="D930" s="2087"/>
      <c r="E930" s="2087"/>
      <c r="F930" s="2087"/>
      <c r="G930" s="2087"/>
      <c r="H930" s="2087"/>
      <c r="I930" s="2087"/>
      <c r="J930" s="2087"/>
      <c r="K930" s="2087"/>
      <c r="L930" s="2087"/>
      <c r="M930" s="2087"/>
      <c r="N930" s="2087"/>
      <c r="O930" s="2087"/>
      <c r="P930" s="2087"/>
      <c r="Q930" s="2089"/>
    </row>
    <row r="931" spans="1:17" ht="14.1">
      <c r="A931" s="2086"/>
      <c r="B931" s="2088"/>
      <c r="C931" s="2087"/>
      <c r="D931" s="2087"/>
      <c r="E931" s="2087"/>
      <c r="F931" s="2087"/>
      <c r="G931" s="2087"/>
      <c r="H931" s="2087"/>
      <c r="I931" s="2087"/>
      <c r="J931" s="2087"/>
      <c r="K931" s="2087"/>
      <c r="L931" s="2087"/>
      <c r="M931" s="2087"/>
      <c r="N931" s="2087"/>
      <c r="O931" s="2087"/>
      <c r="P931" s="2087"/>
      <c r="Q931" s="2089"/>
    </row>
    <row r="932" spans="1:17" ht="14.1">
      <c r="A932" s="2374" t="s">
        <v>81</v>
      </c>
      <c r="B932" s="2374" t="s">
        <v>1470</v>
      </c>
      <c r="C932" s="2374"/>
      <c r="D932" s="2087"/>
      <c r="E932" s="2087"/>
      <c r="F932" s="2087"/>
      <c r="G932" s="2087"/>
      <c r="H932" s="2087"/>
      <c r="I932" s="2087"/>
      <c r="J932" s="2087"/>
      <c r="K932" s="2087"/>
      <c r="L932" s="2086"/>
      <c r="M932" s="2086"/>
      <c r="N932" s="2086"/>
      <c r="O932" s="2375" t="s">
        <v>1434</v>
      </c>
      <c r="P932" s="2091"/>
      <c r="Q932" s="2091"/>
    </row>
    <row r="933" spans="1:17" ht="14.25" customHeight="1">
      <c r="A933" s="2375"/>
      <c r="B933" s="2086" t="s">
        <v>1471</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726</v>
      </c>
      <c r="P933" s="2091"/>
      <c r="Q933" s="2091"/>
    </row>
    <row r="934" spans="1:17" ht="14.1">
      <c r="A934" s="2375"/>
      <c r="B934" s="2086" t="s">
        <v>1473</v>
      </c>
      <c r="C934" s="2086"/>
      <c r="D934" s="2086"/>
      <c r="E934" s="2086"/>
      <c r="F934" s="2086"/>
      <c r="G934" s="2086" t="str">
        <f>'Part VII-Threshold Criteria'!G91</f>
        <v>Abbington Blue Ridge, LP</v>
      </c>
      <c r="H934" s="2086"/>
      <c r="I934" s="2086"/>
      <c r="J934" s="2086"/>
      <c r="K934" s="2086"/>
      <c r="L934" s="2086"/>
      <c r="M934" s="2086"/>
      <c r="N934" s="2086"/>
      <c r="O934" s="2086"/>
      <c r="P934" s="2086"/>
      <c r="Q934" s="2086"/>
    </row>
    <row r="935" spans="1:17" ht="14.1">
      <c r="A935" s="2086"/>
      <c r="B935" s="2377" t="s">
        <v>1440</v>
      </c>
      <c r="C935" s="2086"/>
      <c r="D935" s="2377"/>
      <c r="E935" s="2377"/>
      <c r="F935" s="2377"/>
      <c r="G935" s="2377"/>
      <c r="H935" s="2087"/>
      <c r="I935" s="2088"/>
      <c r="J935" s="2088"/>
      <c r="K935" s="2088"/>
      <c r="L935" s="2089"/>
      <c r="M935" s="2089"/>
      <c r="N935" s="2089"/>
      <c r="O935" s="2089"/>
      <c r="P935" s="2089"/>
      <c r="Q935" s="2089"/>
    </row>
    <row r="936" spans="1:17" ht="14.1">
      <c r="A936" s="2086" t="str">
        <f>'Part VII-Threshold Criteria'!A93</f>
        <v xml:space="preserve">Site is under control with Purchase and Sales agreement. </v>
      </c>
      <c r="B936" s="2086"/>
      <c r="C936" s="2086"/>
      <c r="D936" s="2086"/>
      <c r="E936" s="2086"/>
      <c r="F936" s="2086"/>
      <c r="G936" s="2086"/>
      <c r="H936" s="2086"/>
      <c r="I936" s="2086"/>
      <c r="J936" s="2086"/>
      <c r="K936" s="2086"/>
      <c r="L936" s="2086"/>
      <c r="M936" s="2086"/>
      <c r="N936" s="2086"/>
      <c r="O936" s="2086"/>
      <c r="P936" s="2086"/>
      <c r="Q936" s="2086"/>
    </row>
    <row r="937" spans="1:17" ht="14.1">
      <c r="A937" s="2086"/>
      <c r="B937" s="2376" t="s">
        <v>1437</v>
      </c>
      <c r="C937" s="2376"/>
      <c r="D937" s="2087"/>
      <c r="E937" s="2087"/>
      <c r="F937" s="2087"/>
      <c r="G937" s="2087"/>
      <c r="H937" s="2087"/>
      <c r="I937" s="2087"/>
      <c r="J937" s="2087"/>
      <c r="K937" s="2087"/>
      <c r="L937" s="2087"/>
      <c r="M937" s="2087"/>
      <c r="N937" s="2087"/>
      <c r="O937" s="2087"/>
      <c r="P937" s="2087"/>
      <c r="Q937" s="2087"/>
    </row>
    <row r="938" spans="1:17" ht="14.1">
      <c r="A938" s="2086"/>
      <c r="B938" s="2086"/>
      <c r="C938" s="2086"/>
      <c r="D938" s="2086"/>
      <c r="E938" s="2086"/>
      <c r="F938" s="2086"/>
      <c r="G938" s="2086"/>
      <c r="H938" s="2086"/>
      <c r="I938" s="2086"/>
      <c r="J938" s="2086"/>
      <c r="K938" s="2086"/>
      <c r="L938" s="2086"/>
      <c r="M938" s="2086"/>
      <c r="N938" s="2086"/>
      <c r="O938" s="2086"/>
      <c r="P938" s="2086"/>
      <c r="Q938" s="2086"/>
    </row>
    <row r="939" spans="1:17" ht="14.1">
      <c r="A939" s="2089"/>
      <c r="B939" s="2088"/>
      <c r="C939" s="2087"/>
      <c r="D939" s="2087"/>
      <c r="E939" s="2087"/>
      <c r="F939" s="2087"/>
      <c r="G939" s="2087"/>
      <c r="H939" s="2087"/>
      <c r="I939" s="2087"/>
      <c r="J939" s="2087"/>
      <c r="K939" s="2087"/>
      <c r="L939" s="2087"/>
      <c r="M939" s="2087"/>
      <c r="N939" s="2086"/>
      <c r="O939" s="2086"/>
      <c r="P939" s="2086"/>
      <c r="Q939" s="2089"/>
    </row>
    <row r="940" spans="1:17" ht="14.1">
      <c r="A940" s="2086"/>
      <c r="B940" s="2088"/>
      <c r="C940" s="2087"/>
      <c r="D940" s="2087"/>
      <c r="E940" s="2087"/>
      <c r="F940" s="2087"/>
      <c r="G940" s="2087"/>
      <c r="H940" s="2087"/>
      <c r="I940" s="2087"/>
      <c r="J940" s="2087"/>
      <c r="K940" s="2087"/>
      <c r="L940" s="2087"/>
      <c r="M940" s="2087"/>
      <c r="N940" s="2086"/>
      <c r="O940" s="2086"/>
      <c r="P940" s="2086"/>
      <c r="Q940" s="2089"/>
    </row>
    <row r="941" spans="1:17" ht="14.1">
      <c r="A941" s="2374" t="s">
        <v>1475</v>
      </c>
      <c r="B941" s="2374" t="s">
        <v>1476</v>
      </c>
      <c r="C941" s="2374"/>
      <c r="D941" s="2087"/>
      <c r="E941" s="2087"/>
      <c r="F941" s="2087"/>
      <c r="G941" s="2087"/>
      <c r="H941" s="2087"/>
      <c r="I941" s="2087"/>
      <c r="J941" s="2087"/>
      <c r="K941" s="2087"/>
      <c r="L941" s="2087"/>
      <c r="M941" s="2087"/>
      <c r="N941" s="2086"/>
      <c r="O941" s="2375" t="s">
        <v>1434</v>
      </c>
      <c r="P941" s="2091"/>
      <c r="Q941" s="2091"/>
    </row>
    <row r="942" spans="1:17" ht="14.1">
      <c r="A942" s="2086"/>
      <c r="B942" s="2377" t="s">
        <v>1440</v>
      </c>
      <c r="C942" s="2086"/>
      <c r="D942" s="2377"/>
      <c r="E942" s="2377"/>
      <c r="F942" s="2377"/>
      <c r="G942" s="2377"/>
      <c r="H942" s="2087"/>
      <c r="I942" s="2088"/>
      <c r="J942" s="2088"/>
      <c r="K942" s="2088"/>
      <c r="L942" s="2089"/>
      <c r="M942" s="2089"/>
      <c r="N942" s="2089"/>
      <c r="O942" s="2089"/>
      <c r="P942" s="2089"/>
      <c r="Q942" s="2089"/>
    </row>
    <row r="943" spans="1:17" ht="14.1">
      <c r="A943" s="2086" t="str">
        <f>'Part VII-Threshold Criteria'!A100</f>
        <v xml:space="preserve">The primary vehicular access point is located on the east property boundary connecting directly to U.S. 76/515 (Appalachian Highway) coordinates: 34.844039, -84.336024. 	</v>
      </c>
      <c r="B943" s="2086"/>
      <c r="C943" s="2086"/>
      <c r="D943" s="2086"/>
      <c r="E943" s="2086"/>
      <c r="F943" s="2086"/>
      <c r="G943" s="2086"/>
      <c r="H943" s="2086"/>
      <c r="I943" s="2086"/>
      <c r="J943" s="2086"/>
      <c r="K943" s="2086"/>
      <c r="L943" s="2086"/>
      <c r="M943" s="2086"/>
      <c r="N943" s="2086"/>
      <c r="O943" s="2086"/>
      <c r="P943" s="2086"/>
      <c r="Q943" s="2086"/>
    </row>
    <row r="944" spans="1:17" ht="14.1">
      <c r="A944" s="2086"/>
      <c r="B944" s="2376" t="s">
        <v>1437</v>
      </c>
      <c r="C944" s="2376"/>
      <c r="D944" s="2087"/>
      <c r="E944" s="2087"/>
      <c r="F944" s="2087"/>
      <c r="G944" s="2087"/>
      <c r="H944" s="2087"/>
      <c r="I944" s="2087"/>
      <c r="J944" s="2087"/>
      <c r="K944" s="2087"/>
      <c r="L944" s="2087"/>
      <c r="M944" s="2087"/>
      <c r="N944" s="2087"/>
      <c r="O944" s="2087"/>
      <c r="P944" s="2087"/>
      <c r="Q944" s="2087"/>
    </row>
    <row r="945" spans="1:17" ht="14.1">
      <c r="A945" s="2086"/>
      <c r="B945" s="2086"/>
      <c r="C945" s="2086"/>
      <c r="D945" s="2086"/>
      <c r="E945" s="2086"/>
      <c r="F945" s="2086"/>
      <c r="G945" s="2086"/>
      <c r="H945" s="2086"/>
      <c r="I945" s="2086"/>
      <c r="J945" s="2086"/>
      <c r="K945" s="2086"/>
      <c r="L945" s="2086"/>
      <c r="M945" s="2086"/>
      <c r="N945" s="2086"/>
      <c r="O945" s="2086"/>
      <c r="P945" s="2086"/>
      <c r="Q945" s="2086"/>
    </row>
    <row r="946" spans="1:17" ht="14.1">
      <c r="A946" s="2086"/>
      <c r="B946" s="2088"/>
      <c r="C946" s="2087"/>
      <c r="D946" s="2087"/>
      <c r="E946" s="2087"/>
      <c r="F946" s="2087"/>
      <c r="G946" s="2087"/>
      <c r="H946" s="2087"/>
      <c r="I946" s="2087"/>
      <c r="J946" s="2087"/>
      <c r="K946" s="2087"/>
      <c r="L946" s="2087"/>
      <c r="M946" s="2087"/>
      <c r="N946" s="2087"/>
      <c r="O946" s="2087"/>
      <c r="P946" s="2087"/>
      <c r="Q946" s="2089"/>
    </row>
    <row r="947" spans="1:17" ht="14.1">
      <c r="A947" s="2086"/>
      <c r="B947" s="2088"/>
      <c r="C947" s="2087"/>
      <c r="D947" s="2087"/>
      <c r="E947" s="2087"/>
      <c r="F947" s="2087"/>
      <c r="G947" s="2087"/>
      <c r="H947" s="2087"/>
      <c r="I947" s="2087"/>
      <c r="J947" s="2087"/>
      <c r="K947" s="2087"/>
      <c r="L947" s="2087"/>
      <c r="M947" s="2087"/>
      <c r="N947" s="2087"/>
      <c r="O947" s="2087"/>
      <c r="P947" s="2087"/>
      <c r="Q947" s="2089"/>
    </row>
    <row r="948" spans="1:17" ht="14.1">
      <c r="A948" s="2374" t="s">
        <v>1478</v>
      </c>
      <c r="B948" s="2091" t="s">
        <v>1479</v>
      </c>
      <c r="C948" s="2091"/>
      <c r="D948" s="2091"/>
      <c r="E948" s="2086"/>
      <c r="F948" s="2086"/>
      <c r="G948" s="2086"/>
      <c r="H948" s="2086"/>
      <c r="I948" s="2086"/>
      <c r="J948" s="2086"/>
      <c r="K948" s="2086"/>
      <c r="L948" s="2086"/>
      <c r="M948" s="2086"/>
      <c r="N948" s="2086"/>
      <c r="O948" s="2375" t="s">
        <v>1434</v>
      </c>
      <c r="P948" s="2091"/>
      <c r="Q948" s="2091"/>
    </row>
    <row r="949" spans="1:17" ht="14.1">
      <c r="A949" s="2086"/>
      <c r="B949" s="2377" t="s">
        <v>1440</v>
      </c>
      <c r="C949" s="2086"/>
      <c r="D949" s="2377"/>
      <c r="E949" s="2377"/>
      <c r="F949" s="2377"/>
      <c r="G949" s="2377"/>
      <c r="H949" s="2087"/>
      <c r="I949" s="2088"/>
      <c r="J949" s="2088"/>
      <c r="K949" s="2088"/>
      <c r="L949" s="2089"/>
      <c r="M949" s="2089"/>
      <c r="N949" s="2089"/>
      <c r="O949" s="2089"/>
      <c r="P949" s="2089"/>
      <c r="Q949" s="2089"/>
    </row>
    <row r="950" spans="1:17" ht="14.1">
      <c r="A950" s="2086" t="str">
        <f>'Part VII-Threshold Criteria'!A107</f>
        <v xml:space="preserve">Zoning letter is provided by Fannin County Land Development (Marie Woody, Chief Land Development Officer). Fannin County does not have a zoning ordinance as noted in folder. We will achieve all standards required in the Land Development code (included) as required for our land disturbance and building permit approvals, as shown on our site plan.   </v>
      </c>
      <c r="B950" s="2086"/>
      <c r="C950" s="2086"/>
      <c r="D950" s="2086"/>
      <c r="E950" s="2086"/>
      <c r="F950" s="2086"/>
      <c r="G950" s="2086"/>
      <c r="H950" s="2086"/>
      <c r="I950" s="2086"/>
      <c r="J950" s="2086"/>
      <c r="K950" s="2086"/>
      <c r="L950" s="2086"/>
      <c r="M950" s="2086"/>
      <c r="N950" s="2086"/>
      <c r="O950" s="2086"/>
      <c r="P950" s="2086"/>
      <c r="Q950" s="2086"/>
    </row>
    <row r="951" spans="1:17" ht="14.1">
      <c r="A951" s="2086"/>
      <c r="B951" s="2376" t="s">
        <v>1437</v>
      </c>
      <c r="C951" s="2376"/>
      <c r="D951" s="2087"/>
      <c r="E951" s="2087"/>
      <c r="F951" s="2087"/>
      <c r="G951" s="2087"/>
      <c r="H951" s="2087"/>
      <c r="I951" s="2087"/>
      <c r="J951" s="2087"/>
      <c r="K951" s="2087"/>
      <c r="L951" s="2087"/>
      <c r="M951" s="2087"/>
      <c r="N951" s="2087"/>
      <c r="O951" s="2087"/>
      <c r="P951" s="2087"/>
      <c r="Q951" s="2087"/>
    </row>
    <row r="952" spans="1:17" ht="14.1">
      <c r="A952" s="2086"/>
      <c r="B952" s="2086"/>
      <c r="C952" s="2086"/>
      <c r="D952" s="2086"/>
      <c r="E952" s="2086"/>
      <c r="F952" s="2086"/>
      <c r="G952" s="2086"/>
      <c r="H952" s="2086"/>
      <c r="I952" s="2086"/>
      <c r="J952" s="2086"/>
      <c r="K952" s="2086"/>
      <c r="L952" s="2086"/>
      <c r="M952" s="2086"/>
      <c r="N952" s="2086"/>
      <c r="O952" s="2086"/>
      <c r="P952" s="2086"/>
      <c r="Q952" s="2086"/>
    </row>
    <row r="953" spans="1:17" ht="14.1">
      <c r="A953" s="2089"/>
      <c r="B953" s="2088"/>
      <c r="C953" s="2087"/>
      <c r="D953" s="2087"/>
      <c r="E953" s="2087"/>
      <c r="F953" s="2087"/>
      <c r="G953" s="2087"/>
      <c r="H953" s="2087"/>
      <c r="I953" s="2087"/>
      <c r="J953" s="2087"/>
      <c r="K953" s="2087"/>
      <c r="L953" s="2087"/>
      <c r="M953" s="2087"/>
      <c r="N953" s="2087"/>
      <c r="O953" s="2087"/>
      <c r="P953" s="2087"/>
      <c r="Q953" s="2089"/>
    </row>
    <row r="954" spans="1:17" ht="14.1">
      <c r="A954" s="2086"/>
      <c r="B954" s="2088"/>
      <c r="C954" s="2087"/>
      <c r="D954" s="2087"/>
      <c r="E954" s="2087"/>
      <c r="F954" s="2087"/>
      <c r="G954" s="2087"/>
      <c r="H954" s="2087"/>
      <c r="I954" s="2087"/>
      <c r="J954" s="2087"/>
      <c r="K954" s="2087"/>
      <c r="L954" s="2087"/>
      <c r="M954" s="2087"/>
      <c r="N954" s="2087"/>
      <c r="O954" s="2087"/>
      <c r="P954" s="2087"/>
      <c r="Q954" s="2089"/>
    </row>
    <row r="955" spans="1:17" ht="14.1">
      <c r="A955" s="2374" t="s">
        <v>1481</v>
      </c>
      <c r="B955" s="2374" t="s">
        <v>1482</v>
      </c>
      <c r="C955" s="2374"/>
      <c r="D955" s="2087"/>
      <c r="E955" s="2087"/>
      <c r="F955" s="2086"/>
      <c r="G955" s="2087"/>
      <c r="H955" s="2086"/>
      <c r="I955" s="2086"/>
      <c r="J955" s="2086"/>
      <c r="K955" s="2086"/>
      <c r="L955" s="2086"/>
      <c r="M955" s="2086"/>
      <c r="N955" s="2086"/>
      <c r="O955" s="2375" t="s">
        <v>1434</v>
      </c>
      <c r="P955" s="2091"/>
      <c r="Q955" s="2091"/>
    </row>
    <row r="956" spans="1:17" ht="14.1">
      <c r="A956" s="2375"/>
      <c r="B956" s="2086" t="s">
        <v>1483</v>
      </c>
      <c r="C956" s="2086"/>
      <c r="D956" s="2086"/>
      <c r="E956" s="2086"/>
      <c r="F956" s="2086"/>
      <c r="G956" s="2086"/>
      <c r="H956" s="2086" t="s">
        <v>1484</v>
      </c>
      <c r="I956" s="2086"/>
      <c r="J956" s="2091" t="str">
        <f>'Part VII-Threshold Criteria'!J113</f>
        <v>NA</v>
      </c>
      <c r="K956" s="2091"/>
      <c r="L956" s="2091"/>
      <c r="M956" s="2091"/>
      <c r="N956" s="2091"/>
      <c r="O956" s="2091"/>
      <c r="P956" s="2091"/>
      <c r="Q956" s="2091"/>
    </row>
    <row r="957" spans="1:17" ht="14.1">
      <c r="A957" s="2375"/>
      <c r="B957" s="2375"/>
      <c r="C957" s="2086"/>
      <c r="D957" s="2086"/>
      <c r="E957" s="2086"/>
      <c r="F957" s="2086"/>
      <c r="G957" s="2086"/>
      <c r="H957" s="2086" t="s">
        <v>1486</v>
      </c>
      <c r="I957" s="2086"/>
      <c r="J957" s="2091" t="str">
        <f>'Part VII-Threshold Criteria'!J114</f>
        <v>Tri-State EMC</v>
      </c>
      <c r="K957" s="2091"/>
      <c r="L957" s="2091"/>
      <c r="M957" s="2091"/>
      <c r="N957" s="2091"/>
      <c r="O957" s="2091"/>
      <c r="P957" s="2091"/>
      <c r="Q957" s="2091"/>
    </row>
    <row r="958" spans="1:17" ht="14.1">
      <c r="A958" s="2375"/>
      <c r="B958" s="2377" t="s">
        <v>1440</v>
      </c>
      <c r="C958" s="2086"/>
      <c r="D958" s="2086"/>
      <c r="E958" s="2086"/>
      <c r="F958" s="2086"/>
      <c r="G958" s="2086"/>
      <c r="H958" s="2086"/>
      <c r="I958" s="2086"/>
      <c r="J958" s="2086"/>
      <c r="K958" s="2086"/>
      <c r="L958" s="2086"/>
      <c r="M958" s="2086"/>
      <c r="N958" s="2086"/>
      <c r="O958" s="2086"/>
      <c r="P958" s="2086"/>
      <c r="Q958" s="2086"/>
    </row>
    <row r="959" spans="1:17" ht="14.1">
      <c r="A959" s="2086" t="str">
        <f>'Part VII-Threshold Criteria'!A116</f>
        <v xml:space="preserve">Letter of service availability provided by Tri-State EMC engineering team. </v>
      </c>
      <c r="B959" s="2086"/>
      <c r="C959" s="2086"/>
      <c r="D959" s="2086"/>
      <c r="E959" s="2086"/>
      <c r="F959" s="2086"/>
      <c r="G959" s="2086"/>
      <c r="H959" s="2086"/>
      <c r="I959" s="2086"/>
      <c r="J959" s="2086"/>
      <c r="K959" s="2086"/>
      <c r="L959" s="2086"/>
      <c r="M959" s="2086"/>
      <c r="N959" s="2086"/>
      <c r="O959" s="2086"/>
      <c r="P959" s="2086"/>
      <c r="Q959" s="2086"/>
    </row>
    <row r="960" spans="1:17" ht="14.1">
      <c r="A960" s="2086"/>
      <c r="B960" s="2376" t="s">
        <v>1437</v>
      </c>
      <c r="C960" s="2376"/>
      <c r="D960" s="2087"/>
      <c r="E960" s="2087"/>
      <c r="F960" s="2087"/>
      <c r="G960" s="2087"/>
      <c r="H960" s="2087"/>
      <c r="I960" s="2087"/>
      <c r="J960" s="2087"/>
      <c r="K960" s="2087"/>
      <c r="L960" s="2087"/>
      <c r="M960" s="2087"/>
      <c r="N960" s="2087"/>
      <c r="O960" s="2087"/>
      <c r="P960" s="2087"/>
      <c r="Q960" s="2087"/>
    </row>
    <row r="961" spans="1:17" ht="14.1">
      <c r="A961" s="2086"/>
      <c r="B961" s="2086"/>
      <c r="C961" s="2086"/>
      <c r="D961" s="2086"/>
      <c r="E961" s="2086"/>
      <c r="F961" s="2086"/>
      <c r="G961" s="2086"/>
      <c r="H961" s="2086"/>
      <c r="I961" s="2086"/>
      <c r="J961" s="2086"/>
      <c r="K961" s="2086"/>
      <c r="L961" s="2086"/>
      <c r="M961" s="2086"/>
      <c r="N961" s="2086"/>
      <c r="O961" s="2086"/>
      <c r="P961" s="2086"/>
      <c r="Q961" s="2086"/>
    </row>
    <row r="962" spans="1:17" ht="14.1">
      <c r="A962" s="2086"/>
      <c r="B962" s="2088"/>
      <c r="C962" s="2087"/>
      <c r="D962" s="2087"/>
      <c r="E962" s="2087"/>
      <c r="F962" s="2087"/>
      <c r="G962" s="2087"/>
      <c r="H962" s="2087"/>
      <c r="I962" s="2087"/>
      <c r="J962" s="2087"/>
      <c r="K962" s="2087"/>
      <c r="L962" s="2087"/>
      <c r="M962" s="2087"/>
      <c r="N962" s="2086"/>
      <c r="O962" s="2086"/>
      <c r="P962" s="2086"/>
      <c r="Q962" s="2089"/>
    </row>
    <row r="963" spans="1:17" ht="14.1">
      <c r="A963" s="2086"/>
      <c r="B963" s="2088"/>
      <c r="C963" s="2087"/>
      <c r="D963" s="2087"/>
      <c r="E963" s="2087"/>
      <c r="F963" s="2087"/>
      <c r="G963" s="2087"/>
      <c r="H963" s="2087"/>
      <c r="I963" s="2087"/>
      <c r="J963" s="2087"/>
      <c r="K963" s="2087"/>
      <c r="L963" s="2087"/>
      <c r="M963" s="2087"/>
      <c r="N963" s="2086"/>
      <c r="O963" s="2086"/>
      <c r="P963" s="2086"/>
      <c r="Q963" s="2089"/>
    </row>
    <row r="964" spans="1:17" ht="14.1">
      <c r="A964" s="2374" t="s">
        <v>1489</v>
      </c>
      <c r="B964" s="2091" t="s">
        <v>1490</v>
      </c>
      <c r="C964" s="2091"/>
      <c r="D964" s="2091"/>
      <c r="E964" s="2091"/>
      <c r="F964" s="2091"/>
      <c r="G964" s="2087"/>
      <c r="H964" s="2087"/>
      <c r="I964" s="2086"/>
      <c r="J964" s="2087"/>
      <c r="K964" s="2087"/>
      <c r="L964" s="2087"/>
      <c r="M964" s="2087"/>
      <c r="N964" s="2086"/>
      <c r="O964" s="2375" t="s">
        <v>1434</v>
      </c>
      <c r="P964" s="2091"/>
      <c r="Q964" s="2091"/>
    </row>
    <row r="965" spans="1:17" ht="14.1">
      <c r="A965" s="2375"/>
      <c r="B965" s="2086" t="s">
        <v>1491</v>
      </c>
      <c r="C965" s="2086"/>
      <c r="D965" s="2086"/>
      <c r="E965" s="2086"/>
      <c r="F965" s="2086"/>
      <c r="G965" s="2086"/>
      <c r="H965" s="2086" t="s">
        <v>1492</v>
      </c>
      <c r="I965" s="2086"/>
      <c r="J965" s="2091" t="str">
        <f>'Part VII-Threshold Criteria'!J122</f>
        <v>City of Blue Ridge</v>
      </c>
      <c r="K965" s="2091"/>
      <c r="L965" s="2091"/>
      <c r="M965" s="2091"/>
      <c r="N965" s="2091"/>
      <c r="O965" s="2091"/>
      <c r="P965" s="2091"/>
      <c r="Q965" s="2091"/>
    </row>
    <row r="966" spans="1:17" ht="14.1">
      <c r="A966" s="2086"/>
      <c r="B966" s="2375"/>
      <c r="C966" s="2086"/>
      <c r="D966" s="2086"/>
      <c r="E966" s="2086"/>
      <c r="F966" s="2086"/>
      <c r="G966" s="2086"/>
      <c r="H966" s="2086" t="s">
        <v>1494</v>
      </c>
      <c r="I966" s="2086"/>
      <c r="J966" s="2091" t="str">
        <f>'Part VII-Threshold Criteria'!J123</f>
        <v>City of Blue Ridge</v>
      </c>
      <c r="K966" s="2091"/>
      <c r="L966" s="2091"/>
      <c r="M966" s="2091"/>
      <c r="N966" s="2091"/>
      <c r="O966" s="2091"/>
      <c r="P966" s="2091"/>
      <c r="Q966" s="2091"/>
    </row>
    <row r="967" spans="1:17" ht="14.1">
      <c r="A967" s="2086"/>
      <c r="B967" s="2377" t="s">
        <v>1440</v>
      </c>
      <c r="C967" s="2086"/>
      <c r="D967" s="2377"/>
      <c r="E967" s="2377"/>
      <c r="F967" s="2377"/>
      <c r="G967" s="2377"/>
      <c r="H967" s="2087"/>
      <c r="I967" s="2088"/>
      <c r="J967" s="2088"/>
      <c r="K967" s="2088"/>
      <c r="L967" s="2089"/>
      <c r="M967" s="2089"/>
      <c r="N967" s="2089"/>
      <c r="O967" s="2089"/>
      <c r="P967" s="2089"/>
      <c r="Q967" s="2089"/>
    </row>
    <row r="968" spans="1:17" ht="14.1">
      <c r="A968" s="2086" t="str">
        <f>'Part VII-Threshold Criteria'!A125</f>
        <v>Letter of service availability and capacity provided by City of Blue Ridge water and sewer department (Rebecca Harkins, Utility Director). While the development site is within unincorporated Fannin County the City of Blue Ridge provides water/sewer to this location. Water and Sewer are within the public ROW.</v>
      </c>
      <c r="B968" s="2086"/>
      <c r="C968" s="2086"/>
      <c r="D968" s="2086"/>
      <c r="E968" s="2086"/>
      <c r="F968" s="2086"/>
      <c r="G968" s="2086"/>
      <c r="H968" s="2086"/>
      <c r="I968" s="2086"/>
      <c r="J968" s="2086"/>
      <c r="K968" s="2086"/>
      <c r="L968" s="2086"/>
      <c r="M968" s="2086"/>
      <c r="N968" s="2086"/>
      <c r="O968" s="2086"/>
      <c r="P968" s="2086"/>
      <c r="Q968" s="2086"/>
    </row>
    <row r="969" spans="1:17" ht="14.1">
      <c r="A969" s="2086"/>
      <c r="B969" s="2376" t="s">
        <v>1437</v>
      </c>
      <c r="C969" s="2376"/>
      <c r="D969" s="2087"/>
      <c r="E969" s="2087"/>
      <c r="F969" s="2087"/>
      <c r="G969" s="2087"/>
      <c r="H969" s="2087"/>
      <c r="I969" s="2087"/>
      <c r="J969" s="2087"/>
      <c r="K969" s="2087"/>
      <c r="L969" s="2087"/>
      <c r="M969" s="2087"/>
      <c r="N969" s="2087"/>
      <c r="O969" s="2087"/>
      <c r="P969" s="2087"/>
      <c r="Q969" s="2087"/>
    </row>
    <row r="970" spans="1:17" ht="14.1">
      <c r="A970" s="2086"/>
      <c r="B970" s="2086"/>
      <c r="C970" s="2086"/>
      <c r="D970" s="2086"/>
      <c r="E970" s="2086"/>
      <c r="F970" s="2086"/>
      <c r="G970" s="2086"/>
      <c r="H970" s="2086"/>
      <c r="I970" s="2086"/>
      <c r="J970" s="2086"/>
      <c r="K970" s="2086"/>
      <c r="L970" s="2086"/>
      <c r="M970" s="2086"/>
      <c r="N970" s="2086"/>
      <c r="O970" s="2086"/>
      <c r="P970" s="2086"/>
      <c r="Q970" s="2086"/>
    </row>
    <row r="971" spans="1:17" ht="14.1">
      <c r="A971" s="2089"/>
      <c r="B971" s="2088"/>
      <c r="C971" s="2087"/>
      <c r="D971" s="2087"/>
      <c r="E971" s="2087"/>
      <c r="F971" s="2087"/>
      <c r="G971" s="2087"/>
      <c r="H971" s="2087"/>
      <c r="I971" s="2087"/>
      <c r="J971" s="2087"/>
      <c r="K971" s="2087"/>
      <c r="L971" s="2087"/>
      <c r="M971" s="2087"/>
      <c r="N971" s="2086"/>
      <c r="O971" s="2086"/>
      <c r="P971" s="2086"/>
      <c r="Q971" s="2089"/>
    </row>
    <row r="972" spans="1:17" ht="14.1">
      <c r="A972" s="2086"/>
      <c r="B972" s="2088"/>
      <c r="C972" s="2087"/>
      <c r="D972" s="2087"/>
      <c r="E972" s="2087"/>
      <c r="F972" s="2087"/>
      <c r="G972" s="2087"/>
      <c r="H972" s="2087"/>
      <c r="I972" s="2087"/>
      <c r="J972" s="2087"/>
      <c r="K972" s="2087"/>
      <c r="L972" s="2087"/>
      <c r="M972" s="2087"/>
      <c r="N972" s="2086"/>
      <c r="O972" s="2086"/>
      <c r="P972" s="2086"/>
      <c r="Q972" s="2089"/>
    </row>
    <row r="973" spans="1:17" ht="14.1">
      <c r="A973" s="2374" t="s">
        <v>1496</v>
      </c>
      <c r="B973" s="2374" t="s">
        <v>1497</v>
      </c>
      <c r="C973" s="2374"/>
      <c r="D973" s="2087"/>
      <c r="E973" s="2087"/>
      <c r="F973" s="2087"/>
      <c r="G973" s="2087"/>
      <c r="H973" s="2087"/>
      <c r="I973" s="2087"/>
      <c r="J973" s="2087"/>
      <c r="K973" s="2087"/>
      <c r="L973" s="2087"/>
      <c r="M973" s="2087"/>
      <c r="N973" s="2086"/>
      <c r="O973" s="2375" t="s">
        <v>1434</v>
      </c>
      <c r="P973" s="2091"/>
      <c r="Q973" s="2091"/>
    </row>
    <row r="974" spans="1:17" ht="14.25" customHeight="1">
      <c r="A974" s="2086"/>
      <c r="B974" s="2086" t="s">
        <v>1498</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1">
      <c r="A975" s="2375" t="s">
        <v>199</v>
      </c>
      <c r="B975" s="2086" t="s">
        <v>2273</v>
      </c>
      <c r="C975" s="2086"/>
      <c r="D975" s="2086"/>
      <c r="E975" s="2086"/>
      <c r="F975" s="2086"/>
      <c r="G975" s="2086"/>
      <c r="H975" s="2086"/>
      <c r="I975" s="2086"/>
      <c r="J975" s="2086"/>
      <c r="K975" s="2086"/>
      <c r="L975" s="2086"/>
      <c r="M975" s="2086"/>
      <c r="N975" s="2086"/>
      <c r="O975" s="2380"/>
      <c r="P975" s="2086"/>
      <c r="Q975" s="2086"/>
    </row>
    <row r="976" spans="1:17" ht="14.1">
      <c r="A976" s="2375"/>
      <c r="B976" s="2087"/>
      <c r="C976" s="2086" t="s">
        <v>1500</v>
      </c>
      <c r="D976" s="2086"/>
      <c r="E976" s="2086"/>
      <c r="F976" s="2086"/>
      <c r="G976" s="2086"/>
      <c r="H976" s="2086"/>
      <c r="I976" s="2086"/>
      <c r="J976" s="2380"/>
      <c r="K976" s="2086"/>
      <c r="L976" s="2086"/>
      <c r="M976" s="2091" t="str">
        <f>'Part VII-Threshold Criteria'!M133</f>
        <v>Building</v>
      </c>
      <c r="N976" s="2091"/>
      <c r="O976" s="2091"/>
      <c r="P976" s="2091"/>
      <c r="Q976" s="2091"/>
    </row>
    <row r="977" spans="1:17" ht="14.1">
      <c r="A977" s="2375"/>
      <c r="B977" s="2087"/>
      <c r="C977" s="2087" t="s">
        <v>1502</v>
      </c>
      <c r="D977" s="2086"/>
      <c r="E977" s="2087"/>
      <c r="F977" s="2087"/>
      <c r="G977" s="2087"/>
      <c r="H977" s="2087"/>
      <c r="I977" s="2086"/>
      <c r="J977" s="2380"/>
      <c r="K977" s="2086"/>
      <c r="L977" s="2086"/>
      <c r="M977" s="2091" t="str">
        <f>'Part VII-Threshold Criteria'!M134</f>
        <v>Gazebo</v>
      </c>
      <c r="N977" s="2091"/>
      <c r="O977" s="2091"/>
      <c r="P977" s="2091"/>
      <c r="Q977" s="2091"/>
    </row>
    <row r="978" spans="1:17" ht="14.25"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4.1">
      <c r="A979" s="2375"/>
      <c r="B979" s="2087"/>
      <c r="C979" s="2087" t="s">
        <v>1505</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25" customHeight="1">
      <c r="A980" s="2375" t="s">
        <v>211</v>
      </c>
      <c r="B980" s="2086" t="s">
        <v>2274</v>
      </c>
      <c r="C980" s="2086"/>
      <c r="D980" s="2086"/>
      <c r="E980" s="2086"/>
      <c r="F980" s="2086"/>
      <c r="G980" s="2086"/>
      <c r="H980" s="2086"/>
      <c r="I980" s="2086"/>
      <c r="J980" s="2086"/>
      <c r="K980" s="2086"/>
      <c r="L980" s="2086"/>
      <c r="M980" s="2086"/>
      <c r="N980" s="2086"/>
      <c r="O980" s="2380"/>
      <c r="P980" s="2089"/>
      <c r="Q980" s="2089"/>
    </row>
    <row r="981" spans="1:17" ht="14.25" customHeight="1">
      <c r="A981" s="2116"/>
      <c r="B981" s="2087"/>
      <c r="C981" s="2086" t="s">
        <v>2275</v>
      </c>
      <c r="D981" s="2086"/>
      <c r="E981" s="2086"/>
      <c r="F981" s="2086"/>
      <c r="G981" s="2086"/>
      <c r="H981" s="2086"/>
      <c r="I981" s="2086"/>
      <c r="J981" s="2086"/>
      <c r="K981" s="2086"/>
      <c r="L981" s="2086"/>
      <c r="M981" s="2086"/>
      <c r="N981" s="2086"/>
      <c r="O981" s="2086"/>
      <c r="P981" s="2086"/>
      <c r="Q981" s="2086"/>
    </row>
    <row r="982" spans="1:17" ht="14.25" customHeight="1">
      <c r="A982" s="2089"/>
      <c r="B982" s="2386" t="s">
        <v>1509</v>
      </c>
      <c r="C982" s="2373" t="str">
        <f>'Part VII-Threshold Criteria'!C139</f>
        <v>Equipped playground</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25" customHeight="1">
      <c r="A983" s="2089"/>
      <c r="B983" s="2386" t="s">
        <v>1512</v>
      </c>
      <c r="C983" s="2373" t="str">
        <f>'Part VII-Threshold Criteria'!C140</f>
        <v>Furnished Exercise /Fitness Center</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25" customHeight="1">
      <c r="A984" s="2089"/>
      <c r="B984" s="2386" t="s">
        <v>1514</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25" customHeight="1">
      <c r="A985" s="2089"/>
      <c r="B985" s="2386" t="s">
        <v>1516</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4.1">
      <c r="A986" s="2086"/>
      <c r="B986" s="2377" t="s">
        <v>1440</v>
      </c>
      <c r="C986" s="2086"/>
      <c r="D986" s="2377"/>
      <c r="E986" s="2377"/>
      <c r="F986" s="2377"/>
      <c r="G986" s="2377"/>
      <c r="H986" s="2087"/>
      <c r="I986" s="2088"/>
      <c r="J986" s="2088"/>
      <c r="K986" s="2088"/>
      <c r="L986" s="2089"/>
      <c r="M986" s="2089"/>
      <c r="N986" s="2089"/>
      <c r="O986" s="2089"/>
      <c r="P986" s="2086"/>
      <c r="Q986" s="2086"/>
    </row>
    <row r="987" spans="1:17" ht="14.1">
      <c r="A987" s="2086" t="str">
        <f>'Part VII-Threshold Criteria'!A144</f>
        <v xml:space="preserve">Applicant will meet standards of 2024 QAP, and architectural manual. </v>
      </c>
      <c r="B987" s="2086"/>
      <c r="C987" s="2086"/>
      <c r="D987" s="2086"/>
      <c r="E987" s="2086"/>
      <c r="F987" s="2086"/>
      <c r="G987" s="2086"/>
      <c r="H987" s="2086"/>
      <c r="I987" s="2086"/>
      <c r="J987" s="2086"/>
      <c r="K987" s="2086"/>
      <c r="L987" s="2086"/>
      <c r="M987" s="2086"/>
      <c r="N987" s="2086"/>
      <c r="O987" s="2086"/>
      <c r="P987" s="2086"/>
      <c r="Q987" s="2086"/>
    </row>
    <row r="988" spans="1:17" ht="14.1">
      <c r="A988" s="2086"/>
      <c r="B988" s="2376" t="s">
        <v>1437</v>
      </c>
      <c r="C988" s="2376"/>
      <c r="D988" s="2087"/>
      <c r="E988" s="2087"/>
      <c r="F988" s="2087"/>
      <c r="G988" s="2087"/>
      <c r="H988" s="2087"/>
      <c r="I988" s="2087"/>
      <c r="J988" s="2087"/>
      <c r="K988" s="2087"/>
      <c r="L988" s="2087"/>
      <c r="M988" s="2087"/>
      <c r="N988" s="2087"/>
      <c r="O988" s="2087"/>
      <c r="P988" s="2087"/>
      <c r="Q988" s="2087"/>
    </row>
    <row r="989" spans="1:17" ht="14.1">
      <c r="A989" s="2086"/>
      <c r="B989" s="2086"/>
      <c r="C989" s="2086"/>
      <c r="D989" s="2086"/>
      <c r="E989" s="2086"/>
      <c r="F989" s="2086"/>
      <c r="G989" s="2086"/>
      <c r="H989" s="2086"/>
      <c r="I989" s="2086"/>
      <c r="J989" s="2086"/>
      <c r="K989" s="2086"/>
      <c r="L989" s="2086"/>
      <c r="M989" s="2086"/>
      <c r="N989" s="2086"/>
      <c r="O989" s="2086"/>
      <c r="P989" s="2086"/>
      <c r="Q989" s="2086"/>
    </row>
    <row r="990" spans="1:17" ht="14.1">
      <c r="A990" s="2089"/>
      <c r="B990" s="2088"/>
      <c r="C990" s="2087"/>
      <c r="D990" s="2087"/>
      <c r="E990" s="2087"/>
      <c r="F990" s="2087"/>
      <c r="G990" s="2087"/>
      <c r="H990" s="2087"/>
      <c r="I990" s="2087"/>
      <c r="J990" s="2087"/>
      <c r="K990" s="2087"/>
      <c r="L990" s="2087"/>
      <c r="M990" s="2087"/>
      <c r="N990" s="2086"/>
      <c r="O990" s="2086"/>
      <c r="P990" s="2086"/>
      <c r="Q990" s="2089"/>
    </row>
    <row r="991" spans="1:17" ht="14.1">
      <c r="A991" s="2086"/>
      <c r="B991" s="2088"/>
      <c r="C991" s="2087"/>
      <c r="D991" s="2087"/>
      <c r="E991" s="2087"/>
      <c r="F991" s="2087"/>
      <c r="G991" s="2087"/>
      <c r="H991" s="2087"/>
      <c r="I991" s="2087"/>
      <c r="J991" s="2087"/>
      <c r="K991" s="2087"/>
      <c r="L991" s="2087"/>
      <c r="M991" s="2087"/>
      <c r="N991" s="2086"/>
      <c r="O991" s="2086"/>
      <c r="P991" s="2086"/>
      <c r="Q991" s="2089"/>
    </row>
    <row r="992" spans="1:17" ht="14.1">
      <c r="A992" s="2374" t="s">
        <v>1518</v>
      </c>
      <c r="B992" s="2091" t="s">
        <v>1519</v>
      </c>
      <c r="C992" s="2091"/>
      <c r="D992" s="2091"/>
      <c r="E992" s="2091"/>
      <c r="F992" s="2091"/>
      <c r="G992" s="2091"/>
      <c r="H992" s="2087"/>
      <c r="I992" s="2087"/>
      <c r="J992" s="2087"/>
      <c r="K992" s="2087"/>
      <c r="L992" s="2379"/>
      <c r="M992" s="2393"/>
      <c r="N992" s="2086"/>
      <c r="O992" s="2375" t="s">
        <v>1434</v>
      </c>
      <c r="P992" s="2091"/>
      <c r="Q992" s="2091"/>
    </row>
    <row r="993" spans="1:17" ht="14.1">
      <c r="A993" s="2086"/>
      <c r="B993" s="2086" t="s">
        <v>1520</v>
      </c>
      <c r="C993" s="2086"/>
      <c r="D993" s="2086"/>
      <c r="E993" s="2086"/>
      <c r="F993" s="2086"/>
      <c r="G993" s="2086"/>
      <c r="H993" s="2086"/>
      <c r="I993" s="2086"/>
      <c r="J993" s="2086"/>
      <c r="K993" s="2086"/>
      <c r="L993" s="2086"/>
      <c r="M993" s="2086"/>
      <c r="N993" s="2088"/>
      <c r="O993" s="2086"/>
      <c r="P993" s="2091">
        <f>'Part VII-Threshold Criteria'!P150</f>
        <v>0</v>
      </c>
      <c r="Q993" s="2091"/>
    </row>
    <row r="994" spans="1:17" ht="14.25" customHeight="1">
      <c r="A994" s="2375"/>
      <c r="B994" s="2086" t="s">
        <v>1521</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4.1">
      <c r="A995" s="2375"/>
      <c r="B995" s="2086" t="s">
        <v>1522</v>
      </c>
      <c r="C995" s="2086"/>
      <c r="D995" s="2086"/>
      <c r="E995" s="2086"/>
      <c r="F995" s="2086"/>
      <c r="G995" s="2086"/>
      <c r="H995" s="2086">
        <f>'Part VII-Threshold Criteria'!H152</f>
        <v>0</v>
      </c>
      <c r="I995" s="2086"/>
      <c r="J995" s="2086"/>
      <c r="K995" s="2086"/>
      <c r="L995" s="2086"/>
      <c r="M995" s="2086"/>
      <c r="N995" s="2086"/>
      <c r="O995" s="2086"/>
      <c r="P995" s="2086"/>
      <c r="Q995" s="2086"/>
    </row>
    <row r="996" spans="1:17" ht="14.1">
      <c r="A996" s="2086"/>
      <c r="B996" s="2377" t="s">
        <v>1440</v>
      </c>
      <c r="C996" s="2086"/>
      <c r="D996" s="2377"/>
      <c r="E996" s="2377"/>
      <c r="F996" s="2377"/>
      <c r="G996" s="2377"/>
      <c r="H996" s="2087"/>
      <c r="I996" s="2088"/>
      <c r="J996" s="2088"/>
      <c r="K996" s="2088"/>
      <c r="L996" s="2089"/>
      <c r="M996" s="2089"/>
      <c r="N996" s="2089"/>
      <c r="O996" s="2089"/>
      <c r="P996" s="2089"/>
      <c r="Q996" s="2089"/>
    </row>
    <row r="997" spans="1:17" ht="14.1">
      <c r="A997" s="2086" t="str">
        <f>'Part VII-Threshold Criteria'!A154</f>
        <v xml:space="preserve">Does not apply to application. </v>
      </c>
      <c r="B997" s="2086"/>
      <c r="C997" s="2086"/>
      <c r="D997" s="2086"/>
      <c r="E997" s="2086"/>
      <c r="F997" s="2086"/>
      <c r="G997" s="2086"/>
      <c r="H997" s="2086"/>
      <c r="I997" s="2086"/>
      <c r="J997" s="2086"/>
      <c r="K997" s="2086"/>
      <c r="L997" s="2086"/>
      <c r="M997" s="2086"/>
      <c r="N997" s="2086"/>
      <c r="O997" s="2086"/>
      <c r="P997" s="2086"/>
      <c r="Q997" s="2086"/>
    </row>
    <row r="998" spans="1:17" ht="14.1">
      <c r="A998" s="2086"/>
      <c r="B998" s="2376" t="s">
        <v>1437</v>
      </c>
      <c r="C998" s="2376"/>
      <c r="D998" s="2087"/>
      <c r="E998" s="2087"/>
      <c r="F998" s="2087"/>
      <c r="G998" s="2087"/>
      <c r="H998" s="2087"/>
      <c r="I998" s="2087"/>
      <c r="J998" s="2087"/>
      <c r="K998" s="2087"/>
      <c r="L998" s="2087"/>
      <c r="M998" s="2087"/>
      <c r="N998" s="2087"/>
      <c r="O998" s="2087"/>
      <c r="P998" s="2087"/>
      <c r="Q998" s="2087"/>
    </row>
    <row r="999" spans="1:17" ht="14.1">
      <c r="A999" s="2086"/>
      <c r="B999" s="2086"/>
      <c r="C999" s="2086"/>
      <c r="D999" s="2086"/>
      <c r="E999" s="2086"/>
      <c r="F999" s="2086"/>
      <c r="G999" s="2086"/>
      <c r="H999" s="2086"/>
      <c r="I999" s="2086"/>
      <c r="J999" s="2086"/>
      <c r="K999" s="2086"/>
      <c r="L999" s="2086"/>
      <c r="M999" s="2086"/>
      <c r="N999" s="2086"/>
      <c r="O999" s="2086"/>
      <c r="P999" s="2086"/>
      <c r="Q999" s="2086"/>
    </row>
    <row r="1000" spans="1:17" ht="14.1">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4.1">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4.1">
      <c r="A1002" s="2374" t="s">
        <v>1524</v>
      </c>
      <c r="B1002" s="2091" t="s">
        <v>1525</v>
      </c>
      <c r="C1002" s="2091"/>
      <c r="D1002" s="2091"/>
      <c r="E1002" s="2091"/>
      <c r="F1002" s="2091"/>
      <c r="G1002" s="2091"/>
      <c r="H1002" s="2087"/>
      <c r="I1002" s="2087"/>
      <c r="J1002" s="2087"/>
      <c r="K1002" s="2087"/>
      <c r="L1002" s="2087"/>
      <c r="M1002" s="2087"/>
      <c r="N1002" s="2086"/>
      <c r="O1002" s="2375" t="s">
        <v>1434</v>
      </c>
      <c r="P1002" s="2091"/>
      <c r="Q1002" s="2091"/>
    </row>
    <row r="1003" spans="1:17" ht="14.1">
      <c r="A1003" s="2086"/>
      <c r="B1003" s="2377" t="s">
        <v>1440</v>
      </c>
      <c r="C1003" s="2086"/>
      <c r="D1003" s="2377"/>
      <c r="E1003" s="2377"/>
      <c r="F1003" s="2377"/>
      <c r="G1003" s="2377"/>
      <c r="H1003" s="2087"/>
      <c r="I1003" s="2088"/>
      <c r="J1003" s="2088"/>
      <c r="K1003" s="2088"/>
      <c r="L1003" s="2089"/>
      <c r="M1003" s="2089"/>
      <c r="N1003" s="2089"/>
      <c r="O1003" s="2089"/>
      <c r="P1003" s="2089"/>
      <c r="Q1003" s="2089"/>
    </row>
    <row r="1004" spans="1:17" ht="14.1">
      <c r="A1004" s="2086" t="str">
        <f>'Part VII-Threshold Criteria'!A161</f>
        <v>Conceptual site development plan has been prepared in accordance with all instructions and requirements of the Architectural Manual.  Site is wells suited for the proposed development.</v>
      </c>
      <c r="B1004" s="2086"/>
      <c r="C1004" s="2086"/>
      <c r="D1004" s="2086"/>
      <c r="E1004" s="2086"/>
      <c r="F1004" s="2086"/>
      <c r="G1004" s="2086"/>
      <c r="H1004" s="2086"/>
      <c r="I1004" s="2086"/>
      <c r="J1004" s="2086"/>
      <c r="K1004" s="2086"/>
      <c r="L1004" s="2086"/>
      <c r="M1004" s="2086"/>
      <c r="N1004" s="2086"/>
      <c r="O1004" s="2086"/>
      <c r="P1004" s="2086"/>
      <c r="Q1004" s="2086"/>
    </row>
    <row r="1005" spans="1:17" ht="14.1">
      <c r="A1005" s="2086"/>
      <c r="B1005" s="2376" t="s">
        <v>1437</v>
      </c>
      <c r="C1005" s="2376"/>
      <c r="D1005" s="2087"/>
      <c r="E1005" s="2087"/>
      <c r="F1005" s="2087"/>
      <c r="G1005" s="2087"/>
      <c r="H1005" s="2087"/>
      <c r="I1005" s="2087"/>
      <c r="J1005" s="2087"/>
      <c r="K1005" s="2087"/>
      <c r="L1005" s="2087"/>
      <c r="M1005" s="2087"/>
      <c r="N1005" s="2087"/>
      <c r="O1005" s="2087"/>
      <c r="P1005" s="2087"/>
      <c r="Q1005" s="2087"/>
    </row>
    <row r="1006" spans="1:17" ht="14.1">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1">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1">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4.1">
      <c r="A1009" s="2374" t="s">
        <v>1527</v>
      </c>
      <c r="B1009" s="2374" t="s">
        <v>1528</v>
      </c>
      <c r="C1009" s="2374"/>
      <c r="D1009" s="2087"/>
      <c r="E1009" s="2087"/>
      <c r="F1009" s="2087"/>
      <c r="G1009" s="2087"/>
      <c r="H1009" s="2087"/>
      <c r="I1009" s="2087"/>
      <c r="J1009" s="2087"/>
      <c r="K1009" s="2087"/>
      <c r="L1009" s="2087"/>
      <c r="M1009" s="2087"/>
      <c r="N1009" s="2086"/>
      <c r="O1009" s="2375" t="s">
        <v>1434</v>
      </c>
      <c r="P1009" s="2091"/>
      <c r="Q1009" s="2091"/>
    </row>
    <row r="1010" spans="1:28" ht="14.1">
      <c r="A1010" s="2375" t="s">
        <v>199</v>
      </c>
      <c r="B1010" s="2091" t="s">
        <v>1529</v>
      </c>
      <c r="C1010" s="2086"/>
      <c r="D1010" s="2086"/>
      <c r="E1010" s="2086"/>
      <c r="F1010" s="2086"/>
      <c r="G1010" s="2086"/>
      <c r="H1010" s="2086"/>
      <c r="I1010" s="2086"/>
      <c r="J1010" s="2086"/>
      <c r="K1010" s="2086"/>
      <c r="L1010" s="2086"/>
      <c r="M1010" s="2086"/>
      <c r="N1010" s="2086"/>
      <c r="O1010" s="2380"/>
      <c r="P1010" s="2086"/>
      <c r="Q1010" s="2086"/>
    </row>
    <row r="1011" spans="1:28" ht="14.25" customHeight="1">
      <c r="A1011" s="2086"/>
      <c r="B1011" s="2373" t="s">
        <v>1530</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4.1">
      <c r="A1012" s="2375" t="s">
        <v>211</v>
      </c>
      <c r="B1012" s="2091" t="s">
        <v>1532</v>
      </c>
      <c r="C1012" s="2086"/>
      <c r="D1012" s="2086"/>
      <c r="E1012" s="2086"/>
      <c r="F1012" s="2086"/>
      <c r="G1012" s="2086"/>
      <c r="H1012" s="2091" t="str">
        <f>'Part VII-Threshold Criteria'!H169</f>
        <v>Earth Craft House Multifamily</v>
      </c>
      <c r="I1012" s="2091"/>
      <c r="J1012" s="2091"/>
      <c r="K1012" s="2091"/>
      <c r="L1012" s="2091"/>
      <c r="M1012" s="2091"/>
      <c r="N1012" s="2091"/>
      <c r="O1012" s="2091"/>
      <c r="P1012" s="2091"/>
      <c r="Q1012" s="2091"/>
    </row>
    <row r="1013" spans="1:28" ht="14.1">
      <c r="A1013" s="2086"/>
      <c r="B1013" s="2377" t="s">
        <v>1440</v>
      </c>
      <c r="C1013" s="2086"/>
      <c r="D1013" s="2086"/>
      <c r="E1013" s="2086"/>
      <c r="F1013" s="2086"/>
      <c r="G1013" s="2086"/>
      <c r="H1013" s="2086"/>
      <c r="I1013" s="2086"/>
      <c r="J1013" s="2086"/>
      <c r="K1013" s="2086"/>
      <c r="L1013" s="2086"/>
      <c r="M1013" s="2088"/>
      <c r="N1013" s="2088"/>
      <c r="O1013" s="2394"/>
      <c r="P1013" s="2089"/>
      <c r="Q1013" s="2086"/>
    </row>
    <row r="1014" spans="1:28" ht="14.1">
      <c r="A1014" s="2086" t="str">
        <f>'Part VII-Threshold Criteria'!A171</f>
        <v>The development will achieve the EarthCraft Multifamily certification. A preliminary ECMF spreadsheet is provided.</v>
      </c>
      <c r="B1014" s="2086"/>
      <c r="C1014" s="2086"/>
      <c r="D1014" s="2086"/>
      <c r="E1014" s="2086"/>
      <c r="F1014" s="2086"/>
      <c r="G1014" s="2086"/>
      <c r="H1014" s="2086"/>
      <c r="I1014" s="2086"/>
      <c r="J1014" s="2086"/>
      <c r="K1014" s="2086"/>
      <c r="L1014" s="2086"/>
      <c r="M1014" s="2086"/>
      <c r="N1014" s="2086"/>
      <c r="O1014" s="2086"/>
      <c r="P1014" s="2086"/>
      <c r="Q1014" s="2086"/>
    </row>
    <row r="1015" spans="1:28" ht="14.1">
      <c r="A1015" s="2086"/>
      <c r="B1015" s="2376" t="s">
        <v>1437</v>
      </c>
      <c r="C1015" s="2376"/>
      <c r="D1015" s="2087"/>
      <c r="E1015" s="2087"/>
      <c r="F1015" s="2087"/>
      <c r="G1015" s="2087"/>
      <c r="H1015" s="2087"/>
      <c r="I1015" s="2087"/>
      <c r="J1015" s="2087"/>
      <c r="K1015" s="2087"/>
      <c r="L1015" s="2087"/>
      <c r="M1015" s="2087"/>
      <c r="N1015" s="2087"/>
      <c r="O1015" s="2087"/>
      <c r="P1015" s="2087"/>
      <c r="Q1015" s="2087"/>
    </row>
    <row r="1016" spans="1:28" ht="14.1">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4.1">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4.1">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4.1">
      <c r="A1019" s="2374" t="s">
        <v>1535</v>
      </c>
      <c r="B1019" s="2374" t="s">
        <v>1536</v>
      </c>
      <c r="C1019" s="2374"/>
      <c r="D1019" s="2374"/>
      <c r="E1019" s="2087"/>
      <c r="F1019" s="2087"/>
      <c r="G1019" s="2087"/>
      <c r="H1019" s="2087"/>
      <c r="I1019" s="2087"/>
      <c r="J1019" s="2087"/>
      <c r="K1019" s="2087"/>
      <c r="L1019" s="2087"/>
      <c r="M1019" s="2087"/>
      <c r="N1019" s="2086"/>
      <c r="O1019" s="2375" t="s">
        <v>1434</v>
      </c>
      <c r="P1019" s="2091"/>
      <c r="Q1019" s="2091"/>
    </row>
    <row r="1020" spans="1:28" ht="14.1">
      <c r="A1020" s="2086"/>
      <c r="B1020" s="2086" t="s">
        <v>1520</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25" customHeight="1">
      <c r="A1021" s="2086"/>
      <c r="B1021" s="2086" t="s">
        <v>1537</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4.1">
      <c r="A1022" s="2375" t="s">
        <v>199</v>
      </c>
      <c r="B1022" s="2374" t="s">
        <v>1538</v>
      </c>
      <c r="C1022" s="2087"/>
      <c r="D1022" s="2087"/>
      <c r="E1022" s="2087"/>
      <c r="F1022" s="2087"/>
      <c r="G1022" s="2087"/>
      <c r="H1022" s="2087"/>
      <c r="I1022" s="2087"/>
      <c r="J1022" s="2087"/>
      <c r="K1022" s="2086"/>
      <c r="L1022" s="2395"/>
      <c r="M1022" s="2396"/>
      <c r="N1022" s="2388"/>
      <c r="O1022" s="2380"/>
      <c r="P1022" s="2380"/>
      <c r="Q1022" s="2380"/>
    </row>
    <row r="1023" spans="1:28" ht="14.25" customHeight="1">
      <c r="A1023" s="2086"/>
      <c r="B1023" s="2373" t="s">
        <v>2276</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1540</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4.1">
      <c r="A1025" s="2086"/>
      <c r="B1025" s="2086"/>
      <c r="C1025" s="2086"/>
      <c r="D1025" s="2086"/>
      <c r="E1025" s="2086"/>
      <c r="F1025" s="2086"/>
      <c r="G1025" s="2086"/>
      <c r="H1025" s="2086"/>
      <c r="I1025" s="2086"/>
      <c r="J1025" s="2086"/>
      <c r="K1025" s="2086"/>
      <c r="L1025" s="2399" t="s">
        <v>1541</v>
      </c>
      <c r="M1025" s="2399"/>
      <c r="N1025" s="2088"/>
      <c r="O1025" s="2086"/>
      <c r="P1025" s="2089"/>
      <c r="Q1025" s="2089"/>
    </row>
    <row r="1026" spans="1:17" ht="14.1">
      <c r="A1026" s="2375" t="s">
        <v>211</v>
      </c>
      <c r="B1026" s="2374" t="s">
        <v>1542</v>
      </c>
      <c r="C1026" s="2086"/>
      <c r="D1026" s="2400"/>
      <c r="E1026" s="2400"/>
      <c r="F1026" s="2400"/>
      <c r="G1026" s="2400"/>
      <c r="H1026" s="2400"/>
      <c r="I1026" s="2400"/>
      <c r="J1026" s="2400"/>
      <c r="K1026" s="2400"/>
      <c r="L1026" s="2086" t="s">
        <v>1543</v>
      </c>
      <c r="M1026" s="2088" t="s">
        <v>1544</v>
      </c>
      <c r="N1026" s="2400"/>
      <c r="O1026" s="2380"/>
      <c r="P1026" s="2380"/>
      <c r="Q1026" s="2380"/>
    </row>
    <row r="1027" spans="1:17" ht="14.1">
      <c r="A1027" s="2375"/>
      <c r="B1027" s="2086" t="s">
        <v>1545</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1546</v>
      </c>
      <c r="O1027" s="2380"/>
      <c r="P1027" s="2091">
        <f>'Part VII-Threshold Criteria'!P184</f>
        <v>6</v>
      </c>
      <c r="Q1027" s="2091"/>
    </row>
    <row r="1028" spans="1:17" ht="14.25" customHeight="1">
      <c r="A1028" s="2375"/>
      <c r="B1028" s="2087"/>
      <c r="C1028" s="2086"/>
      <c r="D1028" s="2086" t="s">
        <v>1547</v>
      </c>
      <c r="E1028" s="2086"/>
      <c r="F1028" s="2086"/>
      <c r="G1028" s="2086"/>
      <c r="H1028" s="2086"/>
      <c r="I1028" s="2086"/>
      <c r="J1028" s="2086"/>
      <c r="K1028" s="2401"/>
      <c r="L1028" s="2395">
        <f>ROUNDUP(L1027*M1028,0)</f>
        <v>2</v>
      </c>
      <c r="M1028" s="2396">
        <f>'DCA Underwriting Assumptions'!$Q$148</f>
        <v>0.4</v>
      </c>
      <c r="N1028" s="2388" t="s">
        <v>1548</v>
      </c>
      <c r="O1028" s="2380"/>
      <c r="P1028" s="2091">
        <f>'Part VII-Threshold Criteria'!P185</f>
        <v>3</v>
      </c>
      <c r="Q1028" s="2091"/>
    </row>
    <row r="1029" spans="1:17" ht="14.25" customHeight="1">
      <c r="A1029" s="2375"/>
      <c r="B1029" s="2086" t="s">
        <v>1549</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1546</v>
      </c>
      <c r="O1029" s="2380"/>
      <c r="P1029" s="2091">
        <f>'Part VII-Threshold Criteria'!P186</f>
        <v>2</v>
      </c>
      <c r="Q1029" s="2091"/>
    </row>
    <row r="1030" spans="1:17" ht="14.1">
      <c r="A1030" s="2375" t="s">
        <v>232</v>
      </c>
      <c r="B1030" s="2374" t="s">
        <v>1550</v>
      </c>
      <c r="C1030" s="2087"/>
      <c r="D1030" s="2087"/>
      <c r="E1030" s="2087"/>
      <c r="F1030" s="2087"/>
      <c r="G1030" s="2087"/>
      <c r="H1030" s="2087"/>
      <c r="I1030" s="2087"/>
      <c r="J1030" s="2087"/>
      <c r="K1030" s="2086"/>
      <c r="L1030" s="2395"/>
      <c r="M1030" s="2396"/>
      <c r="N1030" s="2388"/>
      <c r="O1030" s="2380"/>
      <c r="P1030" s="2380"/>
      <c r="Q1030" s="2380"/>
    </row>
    <row r="1031" spans="1:17" ht="14.1">
      <c r="A1031" s="2375"/>
      <c r="B1031" s="2086" t="s">
        <v>1551</v>
      </c>
      <c r="C1031" s="2086"/>
      <c r="D1031" s="2086"/>
      <c r="E1031" s="2086"/>
      <c r="F1031" s="2086"/>
      <c r="G1031" s="2086"/>
      <c r="H1031" s="2086"/>
      <c r="I1031" s="2086"/>
      <c r="J1031" s="2086"/>
      <c r="K1031" s="2086"/>
      <c r="L1031" s="2086"/>
      <c r="M1031" s="2402" t="str">
        <f>'Part VII-Threshold Criteria'!M188</f>
        <v>Zeffert and Associates</v>
      </c>
      <c r="N1031" s="2402"/>
      <c r="O1031" s="2402"/>
      <c r="P1031" s="2402"/>
      <c r="Q1031" s="2402"/>
    </row>
    <row r="1032" spans="1:17" ht="14.1">
      <c r="A1032" s="2375"/>
      <c r="B1032" s="2086"/>
      <c r="C1032" s="2086"/>
      <c r="D1032" s="2086" t="s">
        <v>1553</v>
      </c>
      <c r="E1032" s="2086"/>
      <c r="F1032" s="2086"/>
      <c r="G1032" s="2086"/>
      <c r="H1032" s="2086"/>
      <c r="I1032" s="2086"/>
      <c r="J1032" s="2086"/>
      <c r="K1032" s="2086"/>
      <c r="L1032" s="2086"/>
      <c r="M1032" s="2086"/>
      <c r="N1032" s="2086"/>
      <c r="O1032" s="2380"/>
      <c r="P1032" s="2089" t="str">
        <f>'Part VII-Threshold Criteria'!P189</f>
        <v>No</v>
      </c>
      <c r="Q1032" s="2089"/>
    </row>
    <row r="1033" spans="1:17" ht="14.1">
      <c r="A1033" s="2375"/>
      <c r="B1033" s="2086"/>
      <c r="C1033" s="2086"/>
      <c r="D1033" s="2086" t="s">
        <v>1554</v>
      </c>
      <c r="E1033" s="2086"/>
      <c r="F1033" s="2086"/>
      <c r="G1033" s="2086"/>
      <c r="H1033" s="2086"/>
      <c r="I1033" s="2086"/>
      <c r="J1033" s="2086"/>
      <c r="K1033" s="2086"/>
      <c r="L1033" s="2086"/>
      <c r="M1033" s="2086"/>
      <c r="N1033" s="2086"/>
      <c r="O1033" s="2380"/>
      <c r="P1033" s="2089" t="str">
        <f>'Part VII-Threshold Criteria'!P190</f>
        <v>No</v>
      </c>
      <c r="Q1033" s="2089"/>
    </row>
    <row r="1034" spans="1:17" ht="14.1">
      <c r="A1034" s="2086"/>
      <c r="B1034" s="2377" t="s">
        <v>1440</v>
      </c>
      <c r="C1034" s="2086"/>
      <c r="D1034" s="2377"/>
      <c r="E1034" s="2377"/>
      <c r="F1034" s="2377"/>
      <c r="G1034" s="2377"/>
      <c r="H1034" s="2087"/>
      <c r="I1034" s="2088"/>
      <c r="J1034" s="2088"/>
      <c r="K1034" s="2088"/>
      <c r="L1034" s="2089"/>
      <c r="M1034" s="2089"/>
      <c r="N1034" s="2089"/>
      <c r="O1034" s="2089"/>
      <c r="P1034" s="2089"/>
      <c r="Q1034" s="2089"/>
    </row>
    <row r="1035" spans="1:17" ht="14.1">
      <c r="A1035" s="2086" t="str">
        <f>'Part VII-Threshold Criteria'!A192</f>
        <v>The applicand, design team, and accessiblity consultant are well versed in meeting design quality standards fro accessiblity and fair housing.</v>
      </c>
      <c r="B1035" s="2086"/>
      <c r="C1035" s="2086"/>
      <c r="D1035" s="2086"/>
      <c r="E1035" s="2086"/>
      <c r="F1035" s="2086"/>
      <c r="G1035" s="2086"/>
      <c r="H1035" s="2086"/>
      <c r="I1035" s="2086"/>
      <c r="J1035" s="2086"/>
      <c r="K1035" s="2086"/>
      <c r="L1035" s="2086"/>
      <c r="M1035" s="2086"/>
      <c r="N1035" s="2086"/>
      <c r="O1035" s="2086"/>
      <c r="P1035" s="2086"/>
      <c r="Q1035" s="2086"/>
    </row>
    <row r="1036" spans="1:17" ht="14.1">
      <c r="A1036" s="2086"/>
      <c r="B1036" s="2376" t="s">
        <v>1437</v>
      </c>
      <c r="C1036" s="2376"/>
      <c r="D1036" s="2087"/>
      <c r="E1036" s="2087"/>
      <c r="F1036" s="2087"/>
      <c r="G1036" s="2087"/>
      <c r="H1036" s="2087"/>
      <c r="I1036" s="2087"/>
      <c r="J1036" s="2087"/>
      <c r="K1036" s="2087"/>
      <c r="L1036" s="2087"/>
      <c r="M1036" s="2087"/>
      <c r="N1036" s="2087"/>
      <c r="O1036" s="2087"/>
      <c r="P1036" s="2087"/>
      <c r="Q1036" s="2087"/>
    </row>
    <row r="1037" spans="1:17" ht="14.1">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1">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1">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4.1">
      <c r="A1040" s="2374" t="s">
        <v>1556</v>
      </c>
      <c r="B1040" s="2091" t="s">
        <v>1557</v>
      </c>
      <c r="C1040" s="2091"/>
      <c r="D1040" s="2091"/>
      <c r="E1040" s="2091"/>
      <c r="F1040" s="2091"/>
      <c r="G1040" s="2091"/>
      <c r="H1040" s="2087"/>
      <c r="I1040" s="2087"/>
      <c r="J1040" s="2087"/>
      <c r="K1040" s="2087"/>
      <c r="L1040" s="2087"/>
      <c r="M1040" s="2087"/>
      <c r="N1040" s="2086"/>
      <c r="O1040" s="2375" t="s">
        <v>1434</v>
      </c>
      <c r="P1040" s="2091"/>
      <c r="Q1040" s="2091"/>
    </row>
    <row r="1041" spans="1:17" ht="14.1">
      <c r="A1041" s="2086"/>
      <c r="B1041" s="2086" t="s">
        <v>1520</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25" customHeight="1">
      <c r="A1042" s="2086"/>
      <c r="B1042" s="2086" t="s">
        <v>1558</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4.1">
      <c r="A1043" s="2375" t="s">
        <v>199</v>
      </c>
      <c r="B1043" s="2091" t="s">
        <v>1559</v>
      </c>
      <c r="C1043" s="2086"/>
      <c r="D1043" s="2091"/>
      <c r="E1043" s="2091"/>
      <c r="F1043" s="2091"/>
      <c r="G1043" s="2091"/>
      <c r="H1043" s="2091"/>
      <c r="I1043" s="2091"/>
      <c r="J1043" s="2091"/>
      <c r="K1043" s="2091"/>
      <c r="L1043" s="2091"/>
      <c r="M1043" s="2091"/>
      <c r="N1043" s="2086"/>
      <c r="O1043" s="2380"/>
      <c r="P1043" s="2089"/>
      <c r="Q1043" s="2089"/>
    </row>
    <row r="1044" spans="1:17" ht="14.25" customHeight="1">
      <c r="A1044" s="2086"/>
      <c r="B1044" s="2386" t="s">
        <v>1509</v>
      </c>
      <c r="C1044" s="2373" t="s">
        <v>1560</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25" customHeight="1">
      <c r="A1045" s="2086"/>
      <c r="B1045" s="2386" t="s">
        <v>1512</v>
      </c>
      <c r="C1045" s="2373" t="s">
        <v>1562</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25" customHeight="1">
      <c r="A1046" s="2375"/>
      <c r="B1046" s="2386" t="s">
        <v>1514</v>
      </c>
      <c r="C1046" s="2086" t="s">
        <v>1564</v>
      </c>
      <c r="D1046" s="2086"/>
      <c r="E1046" s="2086"/>
      <c r="F1046" s="2086"/>
      <c r="G1046" s="2086"/>
      <c r="H1046" s="2086"/>
      <c r="I1046" s="2086"/>
      <c r="J1046" s="2086"/>
      <c r="K1046" s="2086"/>
      <c r="L1046" s="2086"/>
      <c r="M1046" s="2086"/>
      <c r="N1046" s="2086"/>
      <c r="O1046" s="2086"/>
      <c r="P1046" s="2086"/>
      <c r="Q1046" s="2086"/>
    </row>
    <row r="1047" spans="1:17" ht="14.1">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4.1">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1">
      <c r="A1049" s="2086"/>
      <c r="B1049" s="2377" t="s">
        <v>1440</v>
      </c>
      <c r="C1049" s="2086"/>
      <c r="D1049" s="2377"/>
      <c r="E1049" s="2377"/>
      <c r="F1049" s="2377"/>
      <c r="G1049" s="2377"/>
      <c r="H1049" s="2087"/>
      <c r="I1049" s="2088"/>
      <c r="J1049" s="2088"/>
      <c r="K1049" s="2088"/>
      <c r="L1049" s="2089"/>
      <c r="M1049" s="2089"/>
      <c r="N1049" s="2089"/>
      <c r="O1049" s="2089"/>
      <c r="P1049" s="2089"/>
      <c r="Q1049" s="2089"/>
    </row>
    <row r="1050" spans="1:17" ht="14.1">
      <c r="A1050" s="2086" t="str">
        <f>'Part VII-Threshold Criteria'!A207</f>
        <v xml:space="preserve">The applicant and design team are highly experienced developing communities which have been well received in markets across Georgia.  The development will meet all requirements of the 2024 Architectural manual.  </v>
      </c>
      <c r="B1050" s="2086"/>
      <c r="C1050" s="2086"/>
      <c r="D1050" s="2086"/>
      <c r="E1050" s="2086"/>
      <c r="F1050" s="2086"/>
      <c r="G1050" s="2086"/>
      <c r="H1050" s="2086"/>
      <c r="I1050" s="2086"/>
      <c r="J1050" s="2086"/>
      <c r="K1050" s="2086"/>
      <c r="L1050" s="2086"/>
      <c r="M1050" s="2086"/>
      <c r="N1050" s="2086"/>
      <c r="O1050" s="2086"/>
      <c r="P1050" s="2086"/>
      <c r="Q1050" s="2086"/>
    </row>
    <row r="1051" spans="1:17" ht="14.1">
      <c r="A1051" s="2086"/>
      <c r="B1051" s="2376" t="s">
        <v>1437</v>
      </c>
      <c r="C1051" s="2376"/>
      <c r="D1051" s="2087"/>
      <c r="E1051" s="2087"/>
      <c r="F1051" s="2087"/>
      <c r="G1051" s="2087"/>
      <c r="H1051" s="2087"/>
      <c r="I1051" s="2087"/>
      <c r="J1051" s="2087"/>
      <c r="K1051" s="2087"/>
      <c r="L1051" s="2087"/>
      <c r="M1051" s="2087"/>
      <c r="N1051" s="2087"/>
      <c r="O1051" s="2087"/>
      <c r="P1051" s="2087"/>
      <c r="Q1051" s="2087"/>
    </row>
    <row r="1052" spans="1:17" ht="14.1">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1">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1">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4.1">
      <c r="A1055" s="2374" t="s">
        <v>1566</v>
      </c>
      <c r="B1055" s="2374" t="s">
        <v>1567</v>
      </c>
      <c r="C1055" s="2374"/>
      <c r="D1055" s="2087"/>
      <c r="E1055" s="2087"/>
      <c r="F1055" s="2087"/>
      <c r="G1055" s="2087"/>
      <c r="H1055" s="2087"/>
      <c r="I1055" s="2086"/>
      <c r="J1055" s="2086"/>
      <c r="K1055" s="2086"/>
      <c r="L1055" s="2086"/>
      <c r="M1055" s="2086"/>
      <c r="N1055" s="2086"/>
      <c r="O1055" s="2375" t="s">
        <v>1434</v>
      </c>
      <c r="P1055" s="2091"/>
      <c r="Q1055" s="2091"/>
    </row>
    <row r="1056" spans="1:17" ht="14.1">
      <c r="A1056" s="2375"/>
      <c r="B1056" s="2086" t="s">
        <v>1568</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4.1">
      <c r="A1057" s="2375"/>
      <c r="B1057" s="2086" t="s">
        <v>1570</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4.1">
      <c r="A1058" s="2375"/>
      <c r="B1058" s="2086" t="s">
        <v>1571</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25" customHeight="1">
      <c r="A1059" s="2375"/>
      <c r="B1059" s="2086" t="s">
        <v>1572</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4.1">
      <c r="A1060" s="2375"/>
      <c r="B1060" s="2086" t="s">
        <v>1573</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4.1">
      <c r="A1061" s="2375"/>
      <c r="B1061" s="2091" t="s">
        <v>1575</v>
      </c>
      <c r="C1061" s="2086"/>
      <c r="D1061" s="2086"/>
      <c r="E1061" s="2086"/>
      <c r="F1061" s="2086"/>
      <c r="G1061" s="2091"/>
      <c r="H1061" s="2091"/>
      <c r="I1061" s="2091"/>
      <c r="J1061" s="2091"/>
      <c r="K1061" s="2091"/>
      <c r="L1061" s="2091"/>
      <c r="M1061" s="2086"/>
      <c r="N1061" s="2086"/>
      <c r="O1061" s="2086"/>
      <c r="P1061" s="2086"/>
      <c r="Q1061" s="2086"/>
    </row>
    <row r="1062" spans="1:17" ht="14.1">
      <c r="A1062" s="2086"/>
      <c r="B1062" s="2377" t="s">
        <v>1440</v>
      </c>
      <c r="C1062" s="2086"/>
      <c r="D1062" s="2377"/>
      <c r="E1062" s="2377"/>
      <c r="F1062" s="2377"/>
      <c r="G1062" s="2377"/>
      <c r="H1062" s="2087"/>
      <c r="I1062" s="2088"/>
      <c r="J1062" s="2088"/>
      <c r="K1062" s="2088"/>
      <c r="L1062" s="2089"/>
      <c r="M1062" s="2089"/>
      <c r="N1062" s="2089"/>
      <c r="O1062" s="2089"/>
      <c r="P1062" s="2089"/>
      <c r="Q1062" s="2089"/>
    </row>
    <row r="1063" spans="1:17" ht="14.1">
      <c r="A1063" s="2086" t="str">
        <f>'Part VII-Threshold Criteria'!A220</f>
        <v xml:space="preserve"> Project team was deemed "Qualified" by DCA on 5/01/2024 for a smilar project, Abbington Bluff (2024QD087). The same develoment team as was proposed at pre-application for Abbington Bluff will comprise the development team for Abbington Blue Ridge.  There has been no change to the Project Team since Pre-App.</v>
      </c>
      <c r="B1063" s="2086"/>
      <c r="C1063" s="2086"/>
      <c r="D1063" s="2086"/>
      <c r="E1063" s="2086"/>
      <c r="F1063" s="2086"/>
      <c r="G1063" s="2086"/>
      <c r="H1063" s="2086"/>
      <c r="I1063" s="2086"/>
      <c r="J1063" s="2086"/>
      <c r="K1063" s="2086"/>
      <c r="L1063" s="2086"/>
      <c r="M1063" s="2086"/>
      <c r="N1063" s="2086"/>
      <c r="O1063" s="2086"/>
      <c r="P1063" s="2086"/>
      <c r="Q1063" s="2086"/>
    </row>
    <row r="1064" spans="1:17" ht="14.1">
      <c r="A1064" s="2086"/>
      <c r="B1064" s="2376" t="s">
        <v>1437</v>
      </c>
      <c r="C1064" s="2376"/>
      <c r="D1064" s="2087"/>
      <c r="E1064" s="2087"/>
      <c r="F1064" s="2087"/>
      <c r="G1064" s="2087"/>
      <c r="H1064" s="2087"/>
      <c r="I1064" s="2087"/>
      <c r="J1064" s="2087"/>
      <c r="K1064" s="2087"/>
      <c r="L1064" s="2087"/>
      <c r="M1064" s="2087"/>
      <c r="N1064" s="2087"/>
      <c r="O1064" s="2086"/>
      <c r="P1064" s="2087"/>
      <c r="Q1064" s="2087"/>
    </row>
    <row r="1065" spans="1:17" ht="14.1">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4.1">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4.1">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4.1">
      <c r="A1068" s="2374" t="s">
        <v>1577</v>
      </c>
      <c r="B1068" s="2091" t="s">
        <v>1578</v>
      </c>
      <c r="C1068" s="2091"/>
      <c r="D1068" s="2091"/>
      <c r="E1068" s="2091"/>
      <c r="F1068" s="2091"/>
      <c r="G1068" s="2091"/>
      <c r="H1068" s="2087"/>
      <c r="I1068" s="2087"/>
      <c r="J1068" s="2087"/>
      <c r="K1068" s="2087"/>
      <c r="L1068" s="2087"/>
      <c r="M1068" s="2087"/>
      <c r="N1068" s="2380"/>
      <c r="O1068" s="2375" t="s">
        <v>1434</v>
      </c>
      <c r="P1068" s="2091"/>
      <c r="Q1068" s="2091"/>
    </row>
    <row r="1069" spans="1:17" ht="14.25" customHeight="1">
      <c r="A1069" s="2374"/>
      <c r="B1069" s="2086" t="s">
        <v>1579</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4.1">
      <c r="A1070" s="2116" t="s">
        <v>199</v>
      </c>
      <c r="B1070" s="2383" t="s">
        <v>1580</v>
      </c>
      <c r="C1070" s="2383"/>
      <c r="D1070" s="2383"/>
      <c r="E1070" s="2383"/>
      <c r="F1070" s="2383"/>
      <c r="G1070" s="2383"/>
      <c r="H1070" s="2383"/>
      <c r="I1070" s="2383"/>
      <c r="J1070" s="2383"/>
      <c r="K1070" s="2383"/>
      <c r="L1070" s="2383"/>
      <c r="M1070" s="2383"/>
      <c r="N1070" s="2383"/>
      <c r="O1070" s="2383"/>
      <c r="P1070" s="2383"/>
      <c r="Q1070" s="2383"/>
    </row>
    <row r="1071" spans="1:17" ht="14.25" customHeight="1">
      <c r="A1071" s="2116"/>
      <c r="B1071" s="2087"/>
      <c r="C1071" s="2566" t="s">
        <v>1581</v>
      </c>
      <c r="D1071" s="2384"/>
      <c r="E1071" s="2384"/>
      <c r="F1071" s="2087"/>
      <c r="G1071" s="2373" t="s">
        <v>1582</v>
      </c>
      <c r="H1071" s="2373"/>
      <c r="I1071" s="2373"/>
      <c r="J1071" s="2373"/>
      <c r="K1071" s="2373"/>
      <c r="L1071" s="2373"/>
      <c r="M1071" s="2373"/>
      <c r="N1071" s="2373"/>
      <c r="O1071" s="2373"/>
      <c r="P1071" s="2089">
        <f>'Part VII-Threshold Criteria'!P228</f>
        <v>0</v>
      </c>
      <c r="Q1071" s="2089"/>
    </row>
    <row r="1072" spans="1:17" ht="14.25" customHeight="1">
      <c r="A1072" s="2116"/>
      <c r="B1072" s="2087"/>
      <c r="C1072" s="2373" t="s">
        <v>1583</v>
      </c>
      <c r="D1072" s="2373"/>
      <c r="E1072" s="2373"/>
      <c r="F1072" s="2373"/>
      <c r="G1072" s="2373" t="s">
        <v>1584</v>
      </c>
      <c r="H1072" s="2373"/>
      <c r="I1072" s="2373"/>
      <c r="J1072" s="2373"/>
      <c r="K1072" s="2373"/>
      <c r="L1072" s="2373"/>
      <c r="M1072" s="2373"/>
      <c r="N1072" s="2373"/>
      <c r="O1072" s="2373"/>
      <c r="P1072" s="2089">
        <f>'Part VII-Threshold Criteria'!P229</f>
        <v>0</v>
      </c>
      <c r="Q1072" s="2089"/>
    </row>
    <row r="1073" spans="1:17" ht="14.25" customHeight="1">
      <c r="A1073" s="2116" t="s">
        <v>211</v>
      </c>
      <c r="B1073" s="2373" t="s">
        <v>2277</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4.1">
      <c r="A1074" s="2375" t="s">
        <v>232</v>
      </c>
      <c r="B1074" s="2086" t="s">
        <v>2278</v>
      </c>
      <c r="C1074" s="2086"/>
      <c r="D1074" s="2086"/>
      <c r="E1074" s="2086"/>
      <c r="F1074" s="2086"/>
      <c r="G1074" s="2086" t="s">
        <v>2279</v>
      </c>
      <c r="H1074" s="2086"/>
      <c r="I1074" s="2086"/>
      <c r="J1074" s="2086"/>
      <c r="K1074" s="2086"/>
      <c r="L1074" s="2086"/>
      <c r="M1074" s="2086"/>
      <c r="N1074" s="2086"/>
      <c r="O1074" s="2086"/>
      <c r="P1074" s="2089">
        <f>'Part VII-Threshold Criteria'!P231</f>
        <v>0</v>
      </c>
      <c r="Q1074" s="2089"/>
    </row>
    <row r="1075" spans="1:17" ht="14.25" customHeight="1">
      <c r="A1075" s="2116" t="s">
        <v>234</v>
      </c>
      <c r="B1075" s="2373" t="s">
        <v>2280</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1">
      <c r="A1076" s="2086"/>
      <c r="B1076" s="2377" t="s">
        <v>1440</v>
      </c>
      <c r="C1076" s="2086"/>
      <c r="D1076" s="2377"/>
      <c r="E1076" s="2377"/>
      <c r="F1076" s="2377"/>
      <c r="G1076" s="2377"/>
      <c r="H1076" s="2087"/>
      <c r="I1076" s="2088"/>
      <c r="J1076" s="2088"/>
      <c r="K1076" s="2088"/>
      <c r="L1076" s="2089"/>
      <c r="M1076" s="2089"/>
      <c r="N1076" s="2089"/>
      <c r="O1076" s="2089"/>
      <c r="P1076" s="2089"/>
      <c r="Q1076" s="2089"/>
    </row>
    <row r="1077" spans="1:17" ht="14.1">
      <c r="A1077" s="2086" t="str">
        <f>'Part VII-Threshold Criteria'!A234</f>
        <v xml:space="preserve">This section does not apply to the application. </v>
      </c>
      <c r="B1077" s="2086"/>
      <c r="C1077" s="2086"/>
      <c r="D1077" s="2086"/>
      <c r="E1077" s="2086"/>
      <c r="F1077" s="2086"/>
      <c r="G1077" s="2086"/>
      <c r="H1077" s="2086"/>
      <c r="I1077" s="2086"/>
      <c r="J1077" s="2086"/>
      <c r="K1077" s="2086"/>
      <c r="L1077" s="2086"/>
      <c r="M1077" s="2086"/>
      <c r="N1077" s="2086"/>
      <c r="O1077" s="2086"/>
      <c r="P1077" s="2086"/>
      <c r="Q1077" s="2086"/>
    </row>
    <row r="1078" spans="1:17" ht="14.1">
      <c r="A1078" s="2086"/>
      <c r="B1078" s="2376" t="s">
        <v>1437</v>
      </c>
      <c r="C1078" s="2376"/>
      <c r="D1078" s="2087"/>
      <c r="E1078" s="2087"/>
      <c r="F1078" s="2087"/>
      <c r="G1078" s="2087"/>
      <c r="H1078" s="2087"/>
      <c r="I1078" s="2087"/>
      <c r="J1078" s="2087"/>
      <c r="K1078" s="2087"/>
      <c r="L1078" s="2087"/>
      <c r="M1078" s="2087"/>
      <c r="N1078" s="2087"/>
      <c r="O1078" s="2087"/>
      <c r="P1078" s="2087"/>
      <c r="Q1078" s="2087"/>
    </row>
    <row r="1079" spans="1:17" ht="14.1">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4.1">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4.1">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4.1">
      <c r="A1082" s="2374" t="s">
        <v>1590</v>
      </c>
      <c r="B1082" s="2091" t="s">
        <v>1591</v>
      </c>
      <c r="C1082" s="2091"/>
      <c r="D1082" s="2091"/>
      <c r="E1082" s="2091"/>
      <c r="F1082" s="2091"/>
      <c r="G1082" s="2091"/>
      <c r="H1082" s="2087"/>
      <c r="I1082" s="2087"/>
      <c r="J1082" s="2087"/>
      <c r="K1082" s="2087"/>
      <c r="L1082" s="2087"/>
      <c r="M1082" s="2087"/>
      <c r="N1082" s="2375"/>
      <c r="O1082" s="2375" t="s">
        <v>1434</v>
      </c>
      <c r="P1082" s="2091"/>
      <c r="Q1082" s="2091"/>
    </row>
    <row r="1083" spans="1:17" ht="14.1">
      <c r="A1083" s="2375"/>
      <c r="B1083" s="2086" t="s">
        <v>1592</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4.1">
      <c r="A1084" s="2375"/>
      <c r="B1084" s="2086" t="s">
        <v>1593</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1594</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4.1">
      <c r="A1086" s="2086"/>
      <c r="B1086" s="2377" t="s">
        <v>1440</v>
      </c>
      <c r="C1086" s="2086"/>
      <c r="D1086" s="2377"/>
      <c r="E1086" s="2377"/>
      <c r="F1086" s="2377"/>
      <c r="G1086" s="2377"/>
      <c r="H1086" s="2087"/>
      <c r="I1086" s="2088"/>
      <c r="J1086" s="2088"/>
      <c r="K1086" s="2088"/>
      <c r="L1086" s="2089"/>
      <c r="M1086" s="2089"/>
      <c r="N1086" s="2089"/>
      <c r="O1086" s="2089"/>
      <c r="P1086" s="2089"/>
      <c r="Q1086" s="2089"/>
    </row>
    <row r="1087" spans="1:17" ht="14.1">
      <c r="A1087" s="2086" t="str">
        <f>'Part VII-Threshold Criteria'!A244</f>
        <v xml:space="preserve">This section does not apply to the application. </v>
      </c>
      <c r="B1087" s="2086"/>
      <c r="C1087" s="2086"/>
      <c r="D1087" s="2086"/>
      <c r="E1087" s="2086"/>
      <c r="F1087" s="2086"/>
      <c r="G1087" s="2086"/>
      <c r="H1087" s="2086"/>
      <c r="I1087" s="2086"/>
      <c r="J1087" s="2086"/>
      <c r="K1087" s="2086"/>
      <c r="L1087" s="2086"/>
      <c r="M1087" s="2086"/>
      <c r="N1087" s="2086"/>
      <c r="O1087" s="2086"/>
      <c r="P1087" s="2086"/>
      <c r="Q1087" s="2086"/>
    </row>
    <row r="1088" spans="1:17" ht="14.1">
      <c r="A1088" s="2086"/>
      <c r="B1088" s="2376" t="s">
        <v>1437</v>
      </c>
      <c r="C1088" s="2376"/>
      <c r="D1088" s="2087"/>
      <c r="E1088" s="2087"/>
      <c r="F1088" s="2087"/>
      <c r="G1088" s="2087"/>
      <c r="H1088" s="2087"/>
      <c r="I1088" s="2087"/>
      <c r="J1088" s="2087"/>
      <c r="K1088" s="2087"/>
      <c r="L1088" s="2087"/>
      <c r="M1088" s="2087"/>
      <c r="N1088" s="2087"/>
      <c r="O1088" s="2087"/>
      <c r="P1088" s="2087"/>
      <c r="Q1088" s="2087"/>
    </row>
    <row r="1089" spans="1:17" ht="14.1">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4.1">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4.1">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4.1">
      <c r="A1092" s="2374" t="s">
        <v>1595</v>
      </c>
      <c r="B1092" s="2091" t="s">
        <v>1596</v>
      </c>
      <c r="C1092" s="2091"/>
      <c r="D1092" s="2091"/>
      <c r="E1092" s="2087"/>
      <c r="F1092" s="2086"/>
      <c r="G1092" s="2086" t="s">
        <v>1597</v>
      </c>
      <c r="H1092" s="2087"/>
      <c r="I1092" s="2087"/>
      <c r="J1092" s="2087"/>
      <c r="K1092" s="2087"/>
      <c r="L1092" s="2087"/>
      <c r="M1092" s="2087"/>
      <c r="N1092" s="2086"/>
      <c r="O1092" s="2375" t="s">
        <v>1434</v>
      </c>
      <c r="P1092" s="2091"/>
      <c r="Q1092" s="2091"/>
    </row>
    <row r="1093" spans="1:17" ht="14.1">
      <c r="A1093" s="2375"/>
      <c r="B1093" s="2086" t="s">
        <v>1598</v>
      </c>
      <c r="C1093" s="2086"/>
      <c r="D1093" s="2086"/>
      <c r="E1093" s="2086"/>
      <c r="F1093" s="2086"/>
      <c r="G1093" s="2086"/>
      <c r="H1093" s="2086"/>
      <c r="I1093" s="2086"/>
      <c r="J1093" s="2086"/>
      <c r="K1093" s="2086"/>
      <c r="L1093" s="2086"/>
      <c r="M1093" s="2086"/>
      <c r="N1093" s="2086"/>
      <c r="O1093" s="2380"/>
      <c r="P1093" s="2091" t="str">
        <f>'Part VII-Threshold Criteria'!P250</f>
        <v>No</v>
      </c>
      <c r="Q1093" s="2091"/>
    </row>
    <row r="1094" spans="1:17" ht="14.1">
      <c r="A1094" s="2375"/>
      <c r="B1094" s="2086" t="s">
        <v>1599</v>
      </c>
      <c r="C1094" s="2086"/>
      <c r="D1094" s="2086"/>
      <c r="E1094" s="2086"/>
      <c r="F1094" s="2086"/>
      <c r="G1094" s="2086"/>
      <c r="H1094" s="2086"/>
      <c r="I1094" s="2086"/>
      <c r="J1094" s="2086"/>
      <c r="K1094" s="2086"/>
      <c r="L1094" s="2086"/>
      <c r="M1094" s="2086"/>
      <c r="N1094" s="2086"/>
      <c r="O1094" s="2380"/>
      <c r="P1094" s="2091" t="str">
        <f>'Part VII-Threshold Criteria'!P251</f>
        <v>No</v>
      </c>
      <c r="Q1094" s="2091"/>
    </row>
    <row r="1095" spans="1:17" ht="14.1">
      <c r="A1095" s="2375"/>
      <c r="B1095" s="2086" t="s">
        <v>447</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1">
      <c r="A1096" s="2086"/>
      <c r="B1096" s="2377" t="s">
        <v>1440</v>
      </c>
      <c r="C1096" s="2086"/>
      <c r="D1096" s="2377"/>
      <c r="E1096" s="2377"/>
      <c r="F1096" s="2377"/>
      <c r="G1096" s="2377"/>
      <c r="H1096" s="2087"/>
      <c r="I1096" s="2088"/>
      <c r="J1096" s="2088"/>
      <c r="K1096" s="2088"/>
      <c r="L1096" s="2089"/>
      <c r="M1096" s="2089"/>
      <c r="N1096" s="2089"/>
      <c r="O1096" s="2089"/>
      <c r="P1096" s="2089"/>
      <c r="Q1096" s="2089"/>
    </row>
    <row r="1097" spans="1:17" ht="14.1">
      <c r="A1097" s="2086" t="str">
        <f>'Part VII-Threshold Criteria'!A254</f>
        <v xml:space="preserve">No legal opinions were required for this application. Not proposing an acquisition or an assisted living facility.  </v>
      </c>
      <c r="B1097" s="2086"/>
      <c r="C1097" s="2086"/>
      <c r="D1097" s="2086"/>
      <c r="E1097" s="2086"/>
      <c r="F1097" s="2086"/>
      <c r="G1097" s="2086"/>
      <c r="H1097" s="2086"/>
      <c r="I1097" s="2086"/>
      <c r="J1097" s="2086"/>
      <c r="K1097" s="2086"/>
      <c r="L1097" s="2086"/>
      <c r="M1097" s="2086"/>
      <c r="N1097" s="2086"/>
      <c r="O1097" s="2086"/>
      <c r="P1097" s="2086"/>
      <c r="Q1097" s="2086"/>
    </row>
    <row r="1098" spans="1:17" ht="14.1">
      <c r="A1098" s="2086"/>
      <c r="B1098" s="2376" t="s">
        <v>1437</v>
      </c>
      <c r="C1098" s="2376"/>
      <c r="D1098" s="2087"/>
      <c r="E1098" s="2087"/>
      <c r="F1098" s="2087"/>
      <c r="G1098" s="2087"/>
      <c r="H1098" s="2087"/>
      <c r="I1098" s="2087"/>
      <c r="J1098" s="2087"/>
      <c r="K1098" s="2087"/>
      <c r="L1098" s="2087"/>
      <c r="M1098" s="2087"/>
      <c r="N1098" s="2087"/>
      <c r="O1098" s="2087"/>
      <c r="P1098" s="2087"/>
      <c r="Q1098" s="2087"/>
    </row>
    <row r="1099" spans="1:17" ht="14.1">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4.1">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4.1">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4.1">
      <c r="A1102" s="2374" t="s">
        <v>1601</v>
      </c>
      <c r="B1102" s="2091" t="s">
        <v>1602</v>
      </c>
      <c r="C1102" s="2091"/>
      <c r="D1102" s="2091"/>
      <c r="E1102" s="2091"/>
      <c r="F1102" s="2091"/>
      <c r="G1102" s="2091"/>
      <c r="H1102" s="2087"/>
      <c r="I1102" s="2087"/>
      <c r="J1102" s="2087"/>
      <c r="K1102" s="2087"/>
      <c r="L1102" s="2087"/>
      <c r="M1102" s="2087"/>
      <c r="N1102" s="2086"/>
      <c r="O1102" s="2375" t="s">
        <v>1434</v>
      </c>
      <c r="P1102" s="2091"/>
      <c r="Q1102" s="2091"/>
    </row>
    <row r="1103" spans="1:17" ht="14.1">
      <c r="A1103" s="2086"/>
      <c r="B1103" s="2086" t="s">
        <v>1603</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4.1">
      <c r="A1104" s="2375"/>
      <c r="B1104" s="2086" t="s">
        <v>1604</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4.1">
      <c r="A1105" s="2086"/>
      <c r="B1105" s="2086" t="s">
        <v>1605</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25" customHeight="1">
      <c r="A1106" s="2375"/>
      <c r="B1106" s="2086" t="s">
        <v>1606</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1">
      <c r="A1107" s="2086"/>
      <c r="B1107" s="2377" t="s">
        <v>1440</v>
      </c>
      <c r="C1107" s="2086"/>
      <c r="D1107" s="2377"/>
      <c r="E1107" s="2377"/>
      <c r="F1107" s="2377"/>
      <c r="G1107" s="2377"/>
      <c r="H1107" s="2087"/>
      <c r="I1107" s="2088"/>
      <c r="J1107" s="2088"/>
      <c r="K1107" s="2088"/>
      <c r="L1107" s="2086"/>
      <c r="M1107" s="2086"/>
      <c r="N1107" s="2086"/>
      <c r="O1107" s="2086"/>
      <c r="P1107" s="2086"/>
      <c r="Q1107" s="2086"/>
    </row>
    <row r="1108" spans="1:17" ht="14.1">
      <c r="A1108" s="2086" t="str">
        <f>'Part VII-Threshold Criteria'!A265</f>
        <v xml:space="preserve">This application does not include an occupied development. There are two dilapidated and long term unoccupied single family homes on the property that will be demolished during the construction phase. </v>
      </c>
      <c r="B1108" s="2086"/>
      <c r="C1108" s="2086"/>
      <c r="D1108" s="2086"/>
      <c r="E1108" s="2086"/>
      <c r="F1108" s="2086"/>
      <c r="G1108" s="2086"/>
      <c r="H1108" s="2086"/>
      <c r="I1108" s="2086"/>
      <c r="J1108" s="2086"/>
      <c r="K1108" s="2086"/>
      <c r="L1108" s="2086"/>
      <c r="M1108" s="2086"/>
      <c r="N1108" s="2086"/>
      <c r="O1108" s="2086"/>
      <c r="P1108" s="2086"/>
      <c r="Q1108" s="2086"/>
    </row>
    <row r="1109" spans="1:17" ht="14.1">
      <c r="A1109" s="2086"/>
      <c r="B1109" s="2376" t="s">
        <v>1437</v>
      </c>
      <c r="C1109" s="2376"/>
      <c r="D1109" s="2087"/>
      <c r="E1109" s="2087"/>
      <c r="F1109" s="2087"/>
      <c r="G1109" s="2087"/>
      <c r="H1109" s="2087"/>
      <c r="I1109" s="2087"/>
      <c r="J1109" s="2087"/>
      <c r="K1109" s="2087"/>
      <c r="L1109" s="2087"/>
      <c r="M1109" s="2087"/>
      <c r="N1109" s="2087"/>
      <c r="O1109" s="2087"/>
      <c r="P1109" s="2087"/>
      <c r="Q1109" s="2087"/>
    </row>
    <row r="1110" spans="1:17" ht="14.1">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4.1">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4.1">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4.1">
      <c r="A1113" s="2374" t="s">
        <v>1608</v>
      </c>
      <c r="B1113" s="2091" t="s">
        <v>1609</v>
      </c>
      <c r="C1113" s="2091"/>
      <c r="D1113" s="2091"/>
      <c r="E1113" s="2087"/>
      <c r="F1113" s="2087"/>
      <c r="G1113" s="2087"/>
      <c r="H1113" s="2087"/>
      <c r="I1113" s="2086"/>
      <c r="J1113" s="2086"/>
      <c r="K1113" s="2086"/>
      <c r="L1113" s="2086"/>
      <c r="M1113" s="2086"/>
      <c r="N1113" s="2086"/>
      <c r="O1113" s="2375" t="s">
        <v>1434</v>
      </c>
      <c r="P1113" s="2091"/>
      <c r="Q1113" s="2091"/>
    </row>
    <row r="1114" spans="1:17" ht="14.25" customHeight="1">
      <c r="A1114" s="2086"/>
      <c r="B1114" s="2086" t="s">
        <v>1610</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25" customHeight="1">
      <c r="A1115" s="2116"/>
      <c r="B1115" s="2373" t="s">
        <v>1611</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4.1">
      <c r="A1116" s="2086"/>
      <c r="B1116" s="2377" t="s">
        <v>1440</v>
      </c>
      <c r="C1116" s="2086"/>
      <c r="D1116" s="2377"/>
      <c r="E1116" s="2377"/>
      <c r="F1116" s="2377"/>
      <c r="G1116" s="2377"/>
      <c r="H1116" s="2087"/>
      <c r="I1116" s="2088"/>
      <c r="J1116" s="2088"/>
      <c r="K1116" s="2088"/>
      <c r="L1116" s="2089"/>
      <c r="M1116" s="2089"/>
      <c r="N1116" s="2089"/>
      <c r="O1116" s="2089"/>
      <c r="P1116" s="2089"/>
      <c r="Q1116" s="2089"/>
    </row>
    <row r="1117" spans="1:17" ht="14.1">
      <c r="A1117" s="2086" t="str">
        <f>'Part VII-Threshold Criteria'!A274</f>
        <v>Applicant and Management Agent has and will continue to promote and facilitate AFFH.</v>
      </c>
      <c r="B1117" s="2086"/>
      <c r="C1117" s="2086"/>
      <c r="D1117" s="2086"/>
      <c r="E1117" s="2086"/>
      <c r="F1117" s="2086"/>
      <c r="G1117" s="2086"/>
      <c r="H1117" s="2086"/>
      <c r="I1117" s="2086"/>
      <c r="J1117" s="2086"/>
      <c r="K1117" s="2086"/>
      <c r="L1117" s="2086"/>
      <c r="M1117" s="2086"/>
      <c r="N1117" s="2086"/>
      <c r="O1117" s="2086"/>
      <c r="P1117" s="2086"/>
      <c r="Q1117" s="2086"/>
    </row>
    <row r="1118" spans="1:17" ht="14.1">
      <c r="A1118" s="2086"/>
      <c r="B1118" s="2376" t="s">
        <v>1437</v>
      </c>
      <c r="C1118" s="2376"/>
      <c r="D1118" s="2087"/>
      <c r="E1118" s="2087"/>
      <c r="F1118" s="2087"/>
      <c r="G1118" s="2087"/>
      <c r="H1118" s="2087"/>
      <c r="I1118" s="2087"/>
      <c r="J1118" s="2087"/>
      <c r="K1118" s="2087"/>
      <c r="L1118" s="2087"/>
      <c r="M1118" s="2087"/>
      <c r="N1118" s="2087"/>
      <c r="O1118" s="2087"/>
      <c r="P1118" s="2087"/>
      <c r="Q1118" s="2087"/>
    </row>
    <row r="1119" spans="1:17" ht="14.1">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4.1">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4.1">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4.1">
      <c r="A1122" s="2374" t="s">
        <v>1613</v>
      </c>
      <c r="B1122" s="2374" t="s">
        <v>1614</v>
      </c>
      <c r="C1122" s="2087"/>
      <c r="D1122" s="2087"/>
      <c r="E1122" s="2087"/>
      <c r="F1122" s="2087"/>
      <c r="G1122" s="2087"/>
      <c r="H1122" s="2087"/>
      <c r="I1122" s="2087"/>
      <c r="J1122" s="2087"/>
      <c r="K1122" s="2087"/>
      <c r="L1122" s="2087"/>
      <c r="M1122" s="2087"/>
      <c r="N1122" s="2086"/>
      <c r="O1122" s="2375" t="s">
        <v>1434</v>
      </c>
      <c r="P1122" s="2091"/>
      <c r="Q1122" s="2091"/>
    </row>
    <row r="1123" spans="1:17" ht="14.1">
      <c r="A1123" s="2116" t="s">
        <v>199</v>
      </c>
      <c r="B1123" s="2374" t="s">
        <v>1615</v>
      </c>
      <c r="C1123" s="2374"/>
      <c r="D1123" s="2087"/>
      <c r="E1123" s="2087"/>
      <c r="F1123" s="2087"/>
      <c r="G1123" s="2087"/>
      <c r="H1123" s="2087"/>
      <c r="I1123" s="2087"/>
      <c r="J1123" s="2087"/>
      <c r="K1123" s="2087"/>
      <c r="L1123" s="2087"/>
      <c r="M1123" s="2087"/>
      <c r="N1123" s="2086"/>
      <c r="O1123" s="2086"/>
      <c r="P1123" s="2086"/>
      <c r="Q1123" s="2089"/>
    </row>
    <row r="1124" spans="1:17" ht="14.25" customHeight="1">
      <c r="A1124" s="2087"/>
      <c r="B1124" s="2373" t="s">
        <v>1616</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4.1">
      <c r="A1125" s="2116" t="s">
        <v>211</v>
      </c>
      <c r="B1125" s="2374" t="s">
        <v>1617</v>
      </c>
      <c r="C1125" s="2086"/>
      <c r="D1125" s="2087"/>
      <c r="E1125" s="2087"/>
      <c r="F1125" s="2087"/>
      <c r="G1125" s="2087"/>
      <c r="H1125" s="2087"/>
      <c r="I1125" s="2087"/>
      <c r="J1125" s="2087"/>
      <c r="K1125" s="2087"/>
      <c r="L1125" s="2087"/>
      <c r="M1125" s="2087"/>
      <c r="N1125" s="2086"/>
      <c r="O1125" s="2086"/>
      <c r="P1125" s="2086"/>
      <c r="Q1125" s="2089"/>
    </row>
    <row r="1126" spans="1:17" ht="14.25" customHeight="1">
      <c r="A1126" s="2087"/>
      <c r="B1126" s="2373" t="s">
        <v>1618</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1">
      <c r="A1127" s="2374"/>
      <c r="B1127" s="2377" t="s">
        <v>1440</v>
      </c>
      <c r="C1127" s="2086"/>
      <c r="D1127" s="2377"/>
      <c r="E1127" s="2377"/>
      <c r="F1127" s="2377"/>
      <c r="G1127" s="2377"/>
      <c r="H1127" s="2087"/>
      <c r="I1127" s="2088"/>
      <c r="J1127" s="2088"/>
      <c r="K1127" s="2088"/>
      <c r="L1127" s="2089"/>
      <c r="M1127" s="2089"/>
      <c r="N1127" s="2089"/>
      <c r="O1127" s="2089"/>
      <c r="P1127" s="2089"/>
      <c r="Q1127" s="2089"/>
    </row>
    <row r="1128" spans="1:17" ht="14.1">
      <c r="A1128" s="2086" t="str">
        <f>'Part VII-Threshold Criteria'!A285</f>
        <v xml:space="preserve">Applicant and Management Agent will comply with all supportive housing requirements of the 2024 QAP and currently has all appropriate management policies in place.  </v>
      </c>
      <c r="B1128" s="2086"/>
      <c r="C1128" s="2086"/>
      <c r="D1128" s="2086"/>
      <c r="E1128" s="2086"/>
      <c r="F1128" s="2086"/>
      <c r="G1128" s="2086"/>
      <c r="H1128" s="2086"/>
      <c r="I1128" s="2086"/>
      <c r="J1128" s="2086"/>
      <c r="K1128" s="2086"/>
      <c r="L1128" s="2086"/>
      <c r="M1128" s="2086"/>
      <c r="N1128" s="2086"/>
      <c r="O1128" s="2086"/>
      <c r="P1128" s="2086"/>
      <c r="Q1128" s="2086"/>
    </row>
    <row r="1129" spans="1:17" ht="14.1">
      <c r="A1129" s="2086"/>
      <c r="B1129" s="2376" t="s">
        <v>1437</v>
      </c>
      <c r="C1129" s="2376"/>
      <c r="D1129" s="2087"/>
      <c r="E1129" s="2087"/>
      <c r="F1129" s="2087"/>
      <c r="G1129" s="2087"/>
      <c r="H1129" s="2087"/>
      <c r="I1129" s="2087"/>
      <c r="J1129" s="2087"/>
      <c r="K1129" s="2087"/>
      <c r="L1129" s="2087"/>
      <c r="M1129" s="2087"/>
      <c r="N1129" s="2087"/>
      <c r="O1129" s="2087"/>
      <c r="P1129" s="2087"/>
      <c r="Q1129" s="2087"/>
    </row>
    <row r="1130" spans="1:17" ht="14.1">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4.1">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4.1">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4.1">
      <c r="A1133" s="2374" t="s">
        <v>1620</v>
      </c>
      <c r="B1133" s="2374" t="s">
        <v>1621</v>
      </c>
      <c r="C1133" s="2087"/>
      <c r="D1133" s="2087"/>
      <c r="E1133" s="2087"/>
      <c r="F1133" s="2087"/>
      <c r="G1133" s="2087"/>
      <c r="H1133" s="2087"/>
      <c r="I1133" s="2087"/>
      <c r="J1133" s="2087"/>
      <c r="K1133" s="2087"/>
      <c r="L1133" s="2087"/>
      <c r="M1133" s="2087"/>
      <c r="N1133" s="2086"/>
      <c r="O1133" s="2375" t="s">
        <v>1434</v>
      </c>
      <c r="P1133" s="2091"/>
      <c r="Q1133" s="2091"/>
    </row>
    <row r="1134" spans="1:17" ht="14.25" customHeight="1">
      <c r="A1134" s="2374"/>
      <c r="B1134" s="2086" t="s">
        <v>1622</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1">
      <c r="A1135" s="2374"/>
      <c r="B1135" s="2377" t="s">
        <v>1440</v>
      </c>
      <c r="C1135" s="2086"/>
      <c r="D1135" s="2377"/>
      <c r="E1135" s="2377"/>
      <c r="F1135" s="2377"/>
      <c r="G1135" s="2377"/>
      <c r="H1135" s="2087"/>
      <c r="I1135" s="2088"/>
      <c r="J1135" s="2088"/>
      <c r="K1135" s="2088"/>
      <c r="L1135" s="2089"/>
      <c r="M1135" s="2089"/>
      <c r="N1135" s="2089"/>
      <c r="O1135" s="2089"/>
      <c r="P1135" s="2089"/>
      <c r="Q1135" s="2089"/>
    </row>
    <row r="1136" spans="1:17" ht="14.1">
      <c r="A1136" s="2086" t="str">
        <f>'Part VII-Threshold Criteria'!A293</f>
        <v xml:space="preserve">Applicant and Management Agent will comply with tenant selection requirements of the 2024 QAP. </v>
      </c>
      <c r="B1136" s="2086"/>
      <c r="C1136" s="2086"/>
      <c r="D1136" s="2086"/>
      <c r="E1136" s="2086"/>
      <c r="F1136" s="2086"/>
      <c r="G1136" s="2086"/>
      <c r="H1136" s="2086"/>
      <c r="I1136" s="2086"/>
      <c r="J1136" s="2086"/>
      <c r="K1136" s="2086"/>
      <c r="L1136" s="2086"/>
      <c r="M1136" s="2086"/>
      <c r="N1136" s="2086"/>
      <c r="O1136" s="2086"/>
      <c r="P1136" s="2086"/>
      <c r="Q1136" s="2086"/>
    </row>
    <row r="1137" spans="1:17" ht="14.1">
      <c r="A1137" s="2086"/>
      <c r="B1137" s="2376" t="s">
        <v>1437</v>
      </c>
      <c r="C1137" s="2376"/>
      <c r="D1137" s="2087"/>
      <c r="E1137" s="2087"/>
      <c r="F1137" s="2087"/>
      <c r="G1137" s="2087"/>
      <c r="H1137" s="2087"/>
      <c r="I1137" s="2087"/>
      <c r="J1137" s="2087"/>
      <c r="K1137" s="2087"/>
      <c r="L1137" s="2087"/>
      <c r="M1137" s="2087"/>
      <c r="N1137" s="2087"/>
      <c r="O1137" s="2087"/>
      <c r="P1137" s="2087"/>
      <c r="Q1137" s="2087"/>
    </row>
    <row r="1138" spans="1:17" ht="14.1">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4.1">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4.1">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4.1">
      <c r="A1141" s="2374" t="s">
        <v>1624</v>
      </c>
      <c r="B1141" s="2091" t="s">
        <v>1625</v>
      </c>
      <c r="C1141" s="2086"/>
      <c r="D1141" s="2091"/>
      <c r="E1141" s="2087"/>
      <c r="F1141" s="2087"/>
      <c r="G1141" s="2087"/>
      <c r="H1141" s="2087"/>
      <c r="I1141" s="2086"/>
      <c r="J1141" s="2087"/>
      <c r="K1141" s="2087"/>
      <c r="L1141" s="2087"/>
      <c r="M1141" s="2087"/>
      <c r="N1141" s="2086"/>
      <c r="O1141" s="2375" t="s">
        <v>1434</v>
      </c>
      <c r="P1141" s="2091"/>
      <c r="Q1141" s="2091"/>
    </row>
    <row r="1142" spans="1:17" ht="14.25" customHeight="1">
      <c r="A1142" s="2374"/>
      <c r="B1142" s="2086" t="s">
        <v>1626</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25" customHeight="1">
      <c r="A1143" s="2374"/>
      <c r="B1143" s="2373" t="s">
        <v>1627</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1">
      <c r="A1144" s="2374"/>
      <c r="B1144" s="2377" t="s">
        <v>1440</v>
      </c>
      <c r="C1144" s="2086"/>
      <c r="D1144" s="2377"/>
      <c r="E1144" s="2377"/>
      <c r="F1144" s="2377"/>
      <c r="G1144" s="2377"/>
      <c r="H1144" s="2087"/>
      <c r="I1144" s="2088"/>
      <c r="J1144" s="2088"/>
      <c r="K1144" s="2088"/>
      <c r="L1144" s="2089"/>
      <c r="M1144" s="2089"/>
      <c r="N1144" s="2089"/>
      <c r="O1144" s="2089"/>
      <c r="P1144" s="2089"/>
      <c r="Q1144" s="2089"/>
    </row>
    <row r="1145" spans="1:17" ht="14.1">
      <c r="A1145" s="2086" t="str">
        <f>'Part VII-Threshold Criteria'!A302</f>
        <v xml:space="preserve">Applicant agrees to accept DCA PBRA agreements if asked. </v>
      </c>
      <c r="B1145" s="2086"/>
      <c r="C1145" s="2086"/>
      <c r="D1145" s="2086"/>
      <c r="E1145" s="2086"/>
      <c r="F1145" s="2086"/>
      <c r="G1145" s="2086"/>
      <c r="H1145" s="2086"/>
      <c r="I1145" s="2086"/>
      <c r="J1145" s="2086"/>
      <c r="K1145" s="2086"/>
      <c r="L1145" s="2086"/>
      <c r="M1145" s="2086"/>
      <c r="N1145" s="2086"/>
      <c r="O1145" s="2086"/>
      <c r="P1145" s="2086"/>
      <c r="Q1145" s="2086"/>
    </row>
    <row r="1146" spans="1:17" ht="14.1">
      <c r="A1146" s="2086"/>
      <c r="B1146" s="2376" t="s">
        <v>1437</v>
      </c>
      <c r="C1146" s="2376"/>
      <c r="D1146" s="2087"/>
      <c r="E1146" s="2087"/>
      <c r="F1146" s="2087"/>
      <c r="G1146" s="2087"/>
      <c r="H1146" s="2087"/>
      <c r="I1146" s="2087"/>
      <c r="J1146" s="2087"/>
      <c r="K1146" s="2087"/>
      <c r="L1146" s="2087"/>
      <c r="M1146" s="2087"/>
      <c r="N1146" s="2087"/>
      <c r="O1146" s="2087"/>
      <c r="P1146" s="2087"/>
      <c r="Q1146" s="2087"/>
    </row>
    <row r="1147" spans="1:17" ht="14.1">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4.1">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4.1">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4.1">
      <c r="A1150" s="2374" t="s">
        <v>1629</v>
      </c>
      <c r="B1150" s="2091" t="s">
        <v>1630</v>
      </c>
      <c r="C1150" s="2086"/>
      <c r="D1150" s="2091"/>
      <c r="E1150" s="2087"/>
      <c r="F1150" s="2087"/>
      <c r="G1150" s="2087"/>
      <c r="H1150" s="2087"/>
      <c r="I1150" s="2086"/>
      <c r="J1150" s="2087"/>
      <c r="K1150" s="2087"/>
      <c r="L1150" s="2087"/>
      <c r="M1150" s="2087"/>
      <c r="N1150" s="2086"/>
      <c r="O1150" s="2375" t="s">
        <v>1434</v>
      </c>
      <c r="P1150" s="2091"/>
      <c r="Q1150" s="2091"/>
    </row>
    <row r="1151" spans="1:17" ht="14.1">
      <c r="A1151" s="2374"/>
      <c r="B1151" s="2377" t="s">
        <v>1440</v>
      </c>
      <c r="C1151" s="2086"/>
      <c r="D1151" s="2377"/>
      <c r="E1151" s="2377"/>
      <c r="F1151" s="2377"/>
      <c r="G1151" s="2377"/>
      <c r="H1151" s="2087"/>
      <c r="I1151" s="2088"/>
      <c r="J1151" s="2088"/>
      <c r="K1151" s="2088"/>
      <c r="L1151" s="2089"/>
      <c r="M1151" s="2089"/>
      <c r="N1151" s="2089"/>
      <c r="O1151" s="2089"/>
      <c r="P1151" s="2089"/>
      <c r="Q1151" s="2089"/>
    </row>
    <row r="1152" spans="1:17" ht="14.1">
      <c r="A1152" s="2086" t="str">
        <f>'Part VII-Threshold Criteria'!A309</f>
        <v xml:space="preserve">Applicant believes the design we are pursuing is appropriate for the site, and best utilizes the sub base for construction in this market. </v>
      </c>
      <c r="B1152" s="2086"/>
      <c r="C1152" s="2086"/>
      <c r="D1152" s="2086"/>
      <c r="E1152" s="2086"/>
      <c r="F1152" s="2086"/>
      <c r="G1152" s="2086"/>
      <c r="H1152" s="2086"/>
      <c r="I1152" s="2086"/>
      <c r="J1152" s="2086"/>
      <c r="K1152" s="2086"/>
      <c r="L1152" s="2086"/>
      <c r="M1152" s="2086"/>
      <c r="N1152" s="2086"/>
      <c r="O1152" s="2086"/>
      <c r="P1152" s="2086"/>
      <c r="Q1152" s="2086"/>
    </row>
    <row r="1153" spans="1:32" ht="14.1">
      <c r="A1153" s="2086"/>
      <c r="B1153" s="2376" t="s">
        <v>1437</v>
      </c>
      <c r="C1153" s="2376"/>
      <c r="D1153" s="2087"/>
      <c r="E1153" s="2087"/>
      <c r="F1153" s="2087"/>
      <c r="G1153" s="2087"/>
      <c r="H1153" s="2087"/>
      <c r="I1153" s="2087"/>
      <c r="J1153" s="2087"/>
      <c r="K1153" s="2087"/>
      <c r="L1153" s="2087"/>
      <c r="M1153" s="2087"/>
      <c r="N1153" s="2087"/>
      <c r="O1153" s="2087"/>
      <c r="P1153" s="2087"/>
      <c r="Q1153" s="2087"/>
    </row>
    <row r="1154" spans="1:32" ht="14.1">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4.1">
      <c r="A1158" s="1630" t="str">
        <f>CONCATENATE("PART EIGHT - SCORING CRITERIA","  -  ",'Part I-Project Identification'!$O$7," ",'Part I-Project Identification'!$F$26,", ",'Part I-Project Identification'!F1100,", ",'Part I-Project Identification'!J1100," County")</f>
        <v>PART EIGHT - SCORING CRITERIA  -  2024-0 Abbington Blue Ridge,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4.1">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25" customHeight="1">
      <c r="A1160" s="2405" t="s">
        <v>1734</v>
      </c>
      <c r="B1160" s="2405"/>
      <c r="C1160" s="2405"/>
      <c r="D1160" s="2405"/>
      <c r="E1160" s="2405"/>
      <c r="F1160" s="2405"/>
      <c r="G1160" s="2405"/>
      <c r="H1160" s="2405"/>
      <c r="I1160" s="2405"/>
      <c r="J1160" s="2405"/>
      <c r="K1160" s="2405"/>
      <c r="L1160" s="2405"/>
      <c r="M1160" s="2563" t="s">
        <v>1735</v>
      </c>
      <c r="N1160" s="1645"/>
      <c r="O1160" s="2563" t="s">
        <v>1736</v>
      </c>
      <c r="P1160" s="2563" t="s">
        <v>774</v>
      </c>
      <c r="Q1160" s="1630"/>
      <c r="R1160" s="1630"/>
      <c r="S1160" s="1630"/>
      <c r="T1160" s="1630"/>
      <c r="U1160" s="1630"/>
      <c r="V1160" s="1630"/>
      <c r="W1160" s="1630"/>
      <c r="X1160" s="2403"/>
      <c r="Y1160" s="1631"/>
      <c r="Z1160" s="1631"/>
      <c r="AA1160" s="1631"/>
      <c r="AB1160" s="1631"/>
      <c r="AC1160" s="1631"/>
      <c r="AD1160" s="1631"/>
      <c r="AE1160" s="1631"/>
      <c r="AF1160" s="1631"/>
    </row>
    <row r="1161" spans="1:32" ht="14.25" customHeight="1">
      <c r="A1161" s="2405"/>
      <c r="B1161" s="2405"/>
      <c r="C1161" s="2405"/>
      <c r="D1161" s="2405"/>
      <c r="E1161" s="2405"/>
      <c r="F1161" s="2405"/>
      <c r="G1161" s="2405"/>
      <c r="H1161" s="2405"/>
      <c r="I1161" s="2405"/>
      <c r="J1161" s="2405"/>
      <c r="K1161" s="2405"/>
      <c r="L1161" s="2405"/>
      <c r="M1161" s="2563" t="s">
        <v>1737</v>
      </c>
      <c r="N1161" s="1630"/>
      <c r="O1161" s="2563" t="s">
        <v>1737</v>
      </c>
      <c r="P1161" s="2563" t="s">
        <v>1737</v>
      </c>
      <c r="Q1161" s="1630"/>
      <c r="R1161" s="1630"/>
      <c r="S1161" s="1630"/>
      <c r="T1161" s="1630"/>
      <c r="U1161" s="1630"/>
      <c r="V1161" s="1630"/>
      <c r="W1161" s="1631"/>
      <c r="X1161" s="1631"/>
      <c r="Y1161" s="1631"/>
      <c r="Z1161" s="1631"/>
      <c r="AA1161" s="1631"/>
      <c r="AB1161" s="1631"/>
      <c r="AC1161" s="1631"/>
      <c r="AD1161" s="1631"/>
      <c r="AE1161" s="1631"/>
      <c r="AF1161" s="1631"/>
    </row>
    <row r="1162" spans="1:32" ht="14.1">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4.1">
      <c r="A1163" s="1631"/>
      <c r="B1163" s="2406" t="str">
        <f>'Part I-Project Identification'!$A$6</f>
        <v>2024 May 7</v>
      </c>
      <c r="C1163" s="2406"/>
      <c r="D1163" s="2406"/>
      <c r="E1163" s="2406"/>
      <c r="F1163" s="2406"/>
      <c r="G1163" s="1631"/>
      <c r="H1163" s="1631"/>
      <c r="I1163" s="1631"/>
      <c r="J1163" s="1631"/>
      <c r="K1163" s="1631"/>
      <c r="L1163" s="2563" t="s">
        <v>1738</v>
      </c>
      <c r="M1163" s="1659"/>
      <c r="N1163" s="2407"/>
      <c r="O1163" s="2408">
        <f>O1556</f>
        <v>80</v>
      </c>
      <c r="P1163" s="2408">
        <f>P1556</f>
        <v>12</v>
      </c>
      <c r="Q1163" s="1630" t="s">
        <v>1739</v>
      </c>
      <c r="R1163" s="1631"/>
      <c r="S1163" s="1631"/>
      <c r="T1163" s="1631"/>
      <c r="U1163" s="1631"/>
      <c r="V1163" s="1631"/>
      <c r="W1163" s="1631"/>
      <c r="X1163" s="1631"/>
      <c r="Y1163" s="1631"/>
      <c r="Z1163" s="1631"/>
      <c r="AA1163" s="1631"/>
      <c r="AB1163" s="1631"/>
      <c r="AC1163" s="1631"/>
      <c r="AD1163" s="1631"/>
      <c r="AE1163" s="1631"/>
      <c r="AF1163" s="1631"/>
    </row>
    <row r="1164" spans="1:32" ht="14.1">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4.1">
      <c r="A1165" s="2066" t="s">
        <v>25</v>
      </c>
      <c r="B1165" s="2067" t="s">
        <v>1740</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4.1">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25" customHeight="1">
      <c r="A1167" s="1660" t="s">
        <v>1741</v>
      </c>
      <c r="B1167" s="1660"/>
      <c r="C1167" s="1660"/>
      <c r="D1167" s="1660"/>
      <c r="E1167" s="2410" t="str">
        <f>IF(OR((C1169-A1169&gt;0),(D1169-A1169&gt;0)),"Points Exceed Max!","")</f>
        <v/>
      </c>
      <c r="F1167" s="1630" t="s">
        <v>1742</v>
      </c>
      <c r="G1167" s="1630"/>
      <c r="H1167" s="1630"/>
      <c r="I1167" s="1630"/>
      <c r="J1167" s="1630" t="s">
        <v>1743</v>
      </c>
      <c r="K1167" s="1630"/>
      <c r="L1167" s="1630"/>
      <c r="M1167" s="1630"/>
      <c r="N1167" s="2564"/>
      <c r="O1167" s="1631" t="s">
        <v>1744</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4.1">
      <c r="A1168" s="1631" t="s">
        <v>1735</v>
      </c>
      <c r="B1168" s="1631"/>
      <c r="C1168" s="1645" t="s">
        <v>1745</v>
      </c>
      <c r="D1168" s="1645" t="s">
        <v>774</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4.1">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1746</v>
      </c>
      <c r="I1169" s="1630"/>
      <c r="J1169" s="1630" t="str">
        <f>'Part VIII Scoring Criteria'!J12</f>
        <v>Rural</v>
      </c>
      <c r="K1169" s="1630"/>
      <c r="L1169" s="1630" t="s">
        <v>1748</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4.1">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4.1">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4.1">
      <c r="A1172" s="1631"/>
      <c r="B1172" s="2073"/>
      <c r="C1172" s="1630" t="s">
        <v>1749</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4.1">
      <c r="A1173" s="1631"/>
      <c r="B1173" s="2073"/>
      <c r="C1173" s="1630" t="str">
        <f>'Part VIII Scoring Criteria'!C16</f>
        <v>Stable Communities</v>
      </c>
      <c r="D1173" s="1630"/>
      <c r="E1173" s="1630"/>
      <c r="F1173" s="1630"/>
      <c r="G1173" s="1630"/>
      <c r="H1173" s="1630" t="s">
        <v>1751</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4.1">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25" customHeight="1">
      <c r="A1175" s="1660"/>
      <c r="B1175" s="1660"/>
      <c r="C1175" s="1631" t="s">
        <v>2281</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4.1">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4.1">
      <c r="A1177" s="2066" t="s">
        <v>32</v>
      </c>
      <c r="B1177" s="2067" t="s">
        <v>1753</v>
      </c>
      <c r="C1177" s="1660"/>
      <c r="D1177" s="1660"/>
      <c r="E1177" s="1660"/>
      <c r="F1177" s="1660"/>
      <c r="G1177" s="1660"/>
      <c r="H1177" s="1662"/>
      <c r="I1177" s="1660"/>
      <c r="J1177" s="1645"/>
      <c r="K1177" s="1631"/>
      <c r="L1177" s="2411" t="s">
        <v>1754</v>
      </c>
      <c r="M1177" s="2563">
        <v>6</v>
      </c>
      <c r="N1177" s="1645"/>
      <c r="O1177" s="1659">
        <f>'Part VIII Scoring Criteria'!O20</f>
        <v>6</v>
      </c>
      <c r="P1177" s="1659">
        <f>'Part VIII Scoring Criteria'!P20</f>
        <v>0</v>
      </c>
      <c r="Q1177" s="2563" t="s">
        <v>787</v>
      </c>
      <c r="R1177" s="1660"/>
      <c r="S1177" s="1660"/>
      <c r="T1177" s="2067"/>
      <c r="U1177" s="2067"/>
      <c r="V1177" s="1660"/>
      <c r="W1177" s="1660"/>
      <c r="X1177" s="1660"/>
      <c r="Y1177" s="1660"/>
      <c r="Z1177" s="1660"/>
      <c r="AA1177" s="1660"/>
      <c r="AB1177" s="1660"/>
      <c r="AC1177" s="1660"/>
      <c r="AD1177" s="1660"/>
      <c r="AE1177" s="1660"/>
      <c r="AF1177" s="1660"/>
    </row>
    <row r="1178" spans="1:32" ht="14.1">
      <c r="A1178" s="2563" t="s">
        <v>199</v>
      </c>
      <c r="B1178" s="1630" t="s">
        <v>1755</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4.1">
      <c r="A1179" s="2563"/>
      <c r="B1179" s="2416" t="s">
        <v>214</v>
      </c>
      <c r="C1179" s="1662" t="s">
        <v>1756</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4.1">
      <c r="A1180" s="2563"/>
      <c r="B1180" s="2418" t="s">
        <v>222</v>
      </c>
      <c r="C1180" s="1662" t="s">
        <v>1757</v>
      </c>
      <c r="D1180" s="2412"/>
      <c r="E1180" s="2412"/>
      <c r="F1180" s="1631"/>
      <c r="G1180" s="1660"/>
      <c r="H1180" s="1631"/>
      <c r="I1180" s="1631"/>
      <c r="J1180" s="1631"/>
      <c r="K1180" s="1631"/>
      <c r="L1180" s="2413"/>
      <c r="M1180" s="1645">
        <v>3</v>
      </c>
      <c r="N1180" s="2417"/>
      <c r="O1180" s="2563" t="str">
        <f>'Part VIII Scoring Criteria'!O23</f>
        <v>N/a</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4.1">
      <c r="A1181" s="2563"/>
      <c r="B1181" s="2418" t="s">
        <v>226</v>
      </c>
      <c r="C1181" s="1662" t="s">
        <v>1759</v>
      </c>
      <c r="D1181" s="2412"/>
      <c r="E1181" s="2412"/>
      <c r="F1181" s="1631"/>
      <c r="G1181" s="1660"/>
      <c r="H1181" s="1631"/>
      <c r="I1181" s="1631"/>
      <c r="J1181" s="1631"/>
      <c r="K1181" s="2069"/>
      <c r="L1181" s="1631"/>
      <c r="M1181" s="1645">
        <v>1</v>
      </c>
      <c r="N1181" s="2417"/>
      <c r="O1181" s="2563" t="str">
        <f>'Part VIII Scoring Criteria'!O24</f>
        <v>N/a</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4.1">
      <c r="A1182" s="2563" t="s">
        <v>211</v>
      </c>
      <c r="B1182" s="1630" t="s">
        <v>1760</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1761</v>
      </c>
      <c r="C1183" s="1631"/>
      <c r="D1183" s="1631"/>
      <c r="E1183" s="1631"/>
      <c r="F1183" s="1631"/>
      <c r="G1183" s="1631"/>
      <c r="H1183" s="1631"/>
      <c r="I1183" s="1631"/>
      <c r="J1183" s="1631"/>
      <c r="K1183" s="1631"/>
      <c r="L1183" s="1631"/>
      <c r="M1183" s="1645"/>
      <c r="N1183" s="2069"/>
      <c r="O1183" s="2563"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4.1">
      <c r="A1184" s="2563" t="s">
        <v>232</v>
      </c>
      <c r="B1184" s="1630" t="s">
        <v>2282</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25" customHeight="1">
      <c r="A1185" s="1660"/>
      <c r="B1185" s="1665" t="s">
        <v>2283</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4.1">
      <c r="A1186" s="1665"/>
      <c r="B1186" s="2418" t="s">
        <v>214</v>
      </c>
      <c r="C1186" s="1666" t="s">
        <v>1764</v>
      </c>
      <c r="D1186" s="1666"/>
      <c r="E1186" s="1666"/>
      <c r="F1186" s="1666"/>
      <c r="G1186" s="1666"/>
      <c r="H1186" s="1666"/>
      <c r="I1186" s="1666"/>
      <c r="J1186" s="1666"/>
      <c r="K1186" s="1666"/>
      <c r="L1186" s="1666"/>
      <c r="M1186" s="1664"/>
      <c r="N1186" s="2421"/>
      <c r="O1186" s="2563" t="str">
        <f>'Part VIII Scoring Criteria'!O29</f>
        <v>No</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4.1">
      <c r="A1187" s="1665"/>
      <c r="B1187" s="2418" t="s">
        <v>222</v>
      </c>
      <c r="C1187" s="1666" t="s">
        <v>1765</v>
      </c>
      <c r="D1187" s="1666"/>
      <c r="E1187" s="1666"/>
      <c r="F1187" s="1666"/>
      <c r="G1187" s="1666"/>
      <c r="H1187" s="1666"/>
      <c r="I1187" s="1666"/>
      <c r="J1187" s="1666"/>
      <c r="K1187" s="1666"/>
      <c r="L1187" s="1666"/>
      <c r="M1187" s="1664"/>
      <c r="N1187" s="2421"/>
      <c r="O1187" s="2563" t="str">
        <f>'Part VIII Scoring Criteria'!O30</f>
        <v>No</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4.1">
      <c r="A1188" s="1665"/>
      <c r="B1188" s="1666" t="s">
        <v>1766</v>
      </c>
      <c r="C1188" s="1665"/>
      <c r="D1188" s="1666"/>
      <c r="E1188" s="1666"/>
      <c r="F1188" s="1666"/>
      <c r="G1188" s="1666"/>
      <c r="H1188" s="1666"/>
      <c r="I1188" s="1665"/>
      <c r="J1188" s="1630" t="str">
        <f>'Part VIII Scoring Criteria'!J31</f>
        <v>N/A</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25" customHeight="1">
      <c r="A1189" s="1665"/>
      <c r="B1189" s="2418" t="s">
        <v>226</v>
      </c>
      <c r="C1189" s="1665" t="s">
        <v>1768</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1">
      <c r="A1190" s="1631"/>
      <c r="B1190" s="2424" t="s">
        <v>1437</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4.1">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4.1">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4.1">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4.1">
      <c r="A1194" s="2066" t="s">
        <v>52</v>
      </c>
      <c r="B1194" s="2067" t="s">
        <v>1769</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787</v>
      </c>
      <c r="R1194" s="1630"/>
      <c r="S1194" s="1630"/>
      <c r="T1194" s="1630"/>
      <c r="U1194" s="1630"/>
      <c r="V1194" s="1630"/>
      <c r="W1194" s="1631"/>
      <c r="X1194" s="1631"/>
      <c r="Y1194" s="1631"/>
      <c r="Z1194" s="1631"/>
      <c r="AA1194" s="1631"/>
      <c r="AB1194" s="1631"/>
      <c r="AC1194" s="1631"/>
      <c r="AD1194" s="1631"/>
      <c r="AE1194" s="1631"/>
      <c r="AF1194" s="1631"/>
    </row>
    <row r="1195" spans="1:32" ht="14.25" customHeight="1">
      <c r="A1195" s="2066"/>
      <c r="B1195" s="1631" t="s">
        <v>1770</v>
      </c>
      <c r="C1195" s="1631"/>
      <c r="D1195" s="2067"/>
      <c r="E1195" s="2067"/>
      <c r="F1195" s="1631"/>
      <c r="G1195" s="1631"/>
      <c r="H1195" s="1631"/>
      <c r="I1195" s="1631"/>
      <c r="J1195" s="2426"/>
      <c r="K1195" s="1631"/>
      <c r="L1195" s="1631"/>
      <c r="M1195" s="2563"/>
      <c r="N1195" s="1631"/>
      <c r="O1195" s="2427" t="s">
        <v>1771</v>
      </c>
      <c r="P1195" s="2427" t="s">
        <v>1772</v>
      </c>
      <c r="Q1195" s="2563"/>
      <c r="R1195" s="1630"/>
      <c r="S1195" s="1630"/>
      <c r="T1195" s="1630"/>
      <c r="U1195" s="1630"/>
      <c r="V1195" s="1630"/>
      <c r="W1195" s="1660"/>
      <c r="X1195" s="1660"/>
      <c r="Y1195" s="1631"/>
      <c r="Z1195" s="1631"/>
      <c r="AA1195" s="1631"/>
      <c r="AB1195" s="1631"/>
      <c r="AC1195" s="1631"/>
      <c r="AD1195" s="1631"/>
      <c r="AE1195" s="1631"/>
      <c r="AF1195" s="1631"/>
    </row>
    <row r="1196" spans="1:32" ht="14.1">
      <c r="A1196" s="2066"/>
      <c r="B1196" s="1631"/>
      <c r="C1196" s="1631" t="s">
        <v>1773</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4.1">
      <c r="A1197" s="2066"/>
      <c r="B1197" s="1631"/>
      <c r="C1197" s="1631" t="s">
        <v>1775</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4.1">
      <c r="A1198" s="2066"/>
      <c r="B1198" s="1631"/>
      <c r="C1198" s="1631" t="s">
        <v>1776</v>
      </c>
      <c r="D1198" s="1631"/>
      <c r="E1198" s="1631"/>
      <c r="F1198" s="1631"/>
      <c r="G1198" s="1631" t="str">
        <f>'Part VIII Scoring Criteria'!G41</f>
        <v>TBD</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25" customHeight="1">
      <c r="A1199" s="2428"/>
      <c r="B1199" s="2069"/>
      <c r="C1199" s="1631" t="s">
        <v>1777</v>
      </c>
      <c r="D1199" s="1631"/>
      <c r="E1199" s="1631"/>
      <c r="F1199" s="1631"/>
      <c r="G1199" s="1631"/>
      <c r="H1199" s="1631"/>
      <c r="I1199" s="1631"/>
      <c r="J1199" s="1631"/>
      <c r="K1199" s="1631"/>
      <c r="L1199" s="1631"/>
      <c r="M1199" s="1631"/>
      <c r="N1199" s="2069"/>
      <c r="O1199" s="1645" t="str">
        <f>'Part VIII Scoring Criteria'!O42</f>
        <v>Yes</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4.1">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4.1">
      <c r="A1201" s="2563" t="s">
        <v>199</v>
      </c>
      <c r="B1201" s="2429" t="s">
        <v>1778</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4.1">
      <c r="A1202" s="2430"/>
      <c r="B1202" s="1666" t="s">
        <v>1779</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4.1">
      <c r="A1203" s="2563" t="s">
        <v>211</v>
      </c>
      <c r="B1203" s="2429" t="s">
        <v>1780</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4.1">
      <c r="A1204" s="2563"/>
      <c r="B1204" s="1631" t="s">
        <v>1781</v>
      </c>
      <c r="C1204" s="1660"/>
      <c r="D1204" s="1666"/>
      <c r="E1204" s="1660"/>
      <c r="F1204" s="1660"/>
      <c r="G1204" s="1660"/>
      <c r="H1204" s="1660"/>
      <c r="I1204" s="1660"/>
      <c r="J1204" s="1660"/>
      <c r="K1204" s="1660"/>
      <c r="L1204" s="1666"/>
      <c r="M1204" s="2564"/>
      <c r="N1204" s="2069"/>
      <c r="O1204" s="1645" t="str">
        <f>'Part VIII Scoring Criteria'!O47</f>
        <v>N/a</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25" customHeight="1">
      <c r="A1205" s="2563"/>
      <c r="B1205" s="1665" t="s">
        <v>1782</v>
      </c>
      <c r="C1205" s="1665"/>
      <c r="D1205" s="1665"/>
      <c r="E1205" s="1665"/>
      <c r="F1205" s="1665"/>
      <c r="G1205" s="1665"/>
      <c r="H1205" s="1665"/>
      <c r="I1205" s="1665"/>
      <c r="J1205" s="1665"/>
      <c r="K1205" s="1665"/>
      <c r="L1205" s="1665"/>
      <c r="M1205" s="1665"/>
      <c r="N1205" s="2069"/>
      <c r="O1205" s="1645" t="str">
        <f>'Part VIII Scoring Criteria'!O48</f>
        <v>N/a</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4.1">
      <c r="A1206" s="1631"/>
      <c r="B1206" s="2409" t="s">
        <v>2284</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4.1">
      <c r="A1207" s="2424" t="str">
        <f>'Part VIII Scoring Criteria'!A50</f>
        <v xml:space="preserve">Applicant will engage with MBWB qualified businesses per the guidelines applicable in the QAP.  Applicant has a long history of working with Minority and Women owned businesses throughout Georgia and other states.  															</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1">
      <c r="A1208" s="1631"/>
      <c r="B1208" s="2424" t="s">
        <v>1437</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4.1">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4.1">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4.1">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4.1">
      <c r="A1212" s="2066" t="s">
        <v>70</v>
      </c>
      <c r="B1212" s="2067" t="s">
        <v>1785</v>
      </c>
      <c r="C1212" s="1660"/>
      <c r="D1212" s="1667"/>
      <c r="E1212" s="1667"/>
      <c r="F1212" s="1631"/>
      <c r="G1212" s="1631"/>
      <c r="H1212" s="1631"/>
      <c r="I1212" s="1660"/>
      <c r="J1212" s="2431"/>
      <c r="K1212" s="2563"/>
      <c r="L1212" s="2411" t="s">
        <v>1754</v>
      </c>
      <c r="M1212" s="1659">
        <v>5</v>
      </c>
      <c r="N1212" s="1645"/>
      <c r="O1212" s="2408">
        <f>'Part VIII Scoring Criteria'!O55</f>
        <v>0</v>
      </c>
      <c r="P1212" s="2408">
        <f>'Part VIII Scoring Criteria'!P55</f>
        <v>0</v>
      </c>
      <c r="Q1212" s="2563" t="s">
        <v>787</v>
      </c>
      <c r="R1212" s="1660"/>
      <c r="S1212" s="1660"/>
      <c r="T1212" s="1660"/>
      <c r="U1212" s="1660"/>
      <c r="V1212" s="1660"/>
      <c r="W1212" s="1660"/>
      <c r="X1212" s="1660"/>
      <c r="Y1212" s="1660"/>
      <c r="Z1212" s="1660"/>
      <c r="AA1212" s="1660"/>
      <c r="AB1212" s="1660"/>
      <c r="AC1212" s="1660"/>
      <c r="AD1212" s="1660"/>
      <c r="AE1212" s="1660"/>
      <c r="AF1212" s="1660"/>
    </row>
    <row r="1213" spans="1:32" ht="14.1">
      <c r="A1213" s="2432" t="s">
        <v>199</v>
      </c>
      <c r="B1213" s="1630" t="s">
        <v>1786</v>
      </c>
      <c r="C1213" s="1660"/>
      <c r="D1213" s="1660"/>
      <c r="E1213" s="1660"/>
      <c r="F1213" s="1660"/>
      <c r="G1213" s="1660"/>
      <c r="H1213" s="1660"/>
      <c r="I1213" s="1660"/>
      <c r="J1213" s="1660"/>
      <c r="K1213" s="1660"/>
      <c r="L1213" s="2413" t="str">
        <f>IF(O1213&lt;=M1213,"","* * Check Score! * *")</f>
        <v/>
      </c>
      <c r="M1213" s="1645">
        <v>4</v>
      </c>
      <c r="N1213" s="2069"/>
      <c r="O1213" s="1659">
        <f>'Part VIII Scoring Criteria'!O56</f>
        <v>0</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25" customHeight="1">
      <c r="A1214" s="2432"/>
      <c r="B1214" s="2428" t="s">
        <v>1787</v>
      </c>
      <c r="C1214" s="2428"/>
      <c r="D1214" s="2428"/>
      <c r="E1214" s="2428"/>
      <c r="F1214" s="2428"/>
      <c r="G1214" s="2428"/>
      <c r="H1214" s="2428"/>
      <c r="I1214" s="2428"/>
      <c r="J1214" s="2428"/>
      <c r="K1214" s="2428"/>
      <c r="L1214" s="2428"/>
      <c r="M1214" s="1660"/>
      <c r="N1214" s="1660"/>
      <c r="O1214" s="2563" t="str">
        <f>'Part VIII Scoring Criteria'!O57</f>
        <v>N/a</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4.1">
      <c r="A1215" s="2432"/>
      <c r="B1215" s="2433"/>
      <c r="C1215" s="1665"/>
      <c r="D1215" s="1665"/>
      <c r="E1215" s="1665"/>
      <c r="F1215" s="1665"/>
      <c r="G1215" s="1665"/>
      <c r="H1215" s="1665"/>
      <c r="I1215" s="1665"/>
      <c r="J1215" s="2434" t="s">
        <v>1788</v>
      </c>
      <c r="K1215" s="2434"/>
      <c r="L1215" s="1660"/>
      <c r="M1215" s="2434" t="s">
        <v>1788</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4.1">
      <c r="A1216" s="2069"/>
      <c r="B1216" s="2416" t="s">
        <v>214</v>
      </c>
      <c r="C1216" s="1631" t="s">
        <v>1789</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4.1">
      <c r="A1217" s="2411"/>
      <c r="B1217" s="2418" t="s">
        <v>222</v>
      </c>
      <c r="C1217" s="1631" t="s">
        <v>1790</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4.1">
      <c r="A1218" s="1660"/>
      <c r="B1218" s="2416" t="s">
        <v>226</v>
      </c>
      <c r="C1218" s="1631" t="s">
        <v>1791</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4.1">
      <c r="A1219" s="1660"/>
      <c r="B1219" s="2416" t="s">
        <v>266</v>
      </c>
      <c r="C1219" s="1631" t="s">
        <v>1792</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4.1">
      <c r="A1220" s="2411"/>
      <c r="B1220" s="2418" t="s">
        <v>268</v>
      </c>
      <c r="C1220" s="1631" t="s">
        <v>1793</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4.1">
      <c r="A1221" s="2069"/>
      <c r="B1221" s="2416" t="s">
        <v>270</v>
      </c>
      <c r="C1221" s="1631" t="s">
        <v>1794</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4.1">
      <c r="A1222" s="1660"/>
      <c r="B1222" s="2416" t="s">
        <v>272</v>
      </c>
      <c r="C1222" s="1631" t="s">
        <v>1795</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4.1">
      <c r="A1223" s="1660"/>
      <c r="B1223" s="2416" t="s">
        <v>274</v>
      </c>
      <c r="C1223" s="1631" t="s">
        <v>1796</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4.1">
      <c r="A1224" s="2411"/>
      <c r="B1224" s="2416" t="s">
        <v>276</v>
      </c>
      <c r="C1224" s="1631" t="s">
        <v>1797</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4.1">
      <c r="A1225" s="1660"/>
      <c r="B1225" s="2416" t="s">
        <v>1798</v>
      </c>
      <c r="C1225" s="1631" t="s">
        <v>1799</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4.1">
      <c r="A1226" s="1660"/>
      <c r="B1226" s="2416" t="s">
        <v>1800</v>
      </c>
      <c r="C1226" s="1631" t="s">
        <v>1801</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4.1">
      <c r="A1227" s="1660"/>
      <c r="B1227" s="2416" t="s">
        <v>1802</v>
      </c>
      <c r="C1227" s="1631" t="s">
        <v>1803</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4.1">
      <c r="A1228" s="1660"/>
      <c r="B1228" s="1631"/>
      <c r="C1228" s="1660"/>
      <c r="D1228" s="1660"/>
      <c r="E1228" s="1660"/>
      <c r="F1228" s="1660"/>
      <c r="G1228" s="1660"/>
      <c r="H1228" s="1660"/>
      <c r="I1228" s="2073" t="s">
        <v>1804</v>
      </c>
      <c r="J1228" s="2435">
        <f>SUM(J1216:K1227)</f>
        <v>0</v>
      </c>
      <c r="K1228" s="2435"/>
      <c r="L1228" s="1660"/>
      <c r="M1228" s="2435">
        <f>SUM($M1216:$M1227)</f>
        <v>0</v>
      </c>
      <c r="N1228" s="2435"/>
      <c r="O1228" s="2435"/>
      <c r="P1228" s="2435"/>
      <c r="Q1228" s="1660"/>
      <c r="R1228" s="1660"/>
      <c r="S1228" s="1660"/>
      <c r="T1228" s="1660"/>
      <c r="U1228" s="1660" t="s">
        <v>1805</v>
      </c>
      <c r="V1228" s="1660"/>
      <c r="W1228" s="1660"/>
      <c r="X1228" s="1660"/>
      <c r="Y1228" s="1660"/>
      <c r="Z1228" s="1660"/>
      <c r="AA1228" s="1660"/>
      <c r="AB1228" s="1660"/>
      <c r="AC1228" s="1660"/>
      <c r="AD1228" s="1660"/>
      <c r="AE1228" s="1660"/>
      <c r="AF1228" s="1660"/>
    </row>
    <row r="1229" spans="1:32" ht="14.1">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1806</v>
      </c>
      <c r="V1229" s="2436" t="s">
        <v>1735</v>
      </c>
      <c r="W1229" s="2436" t="s">
        <v>1806</v>
      </c>
      <c r="X1229" s="2436" t="s">
        <v>1735</v>
      </c>
      <c r="Y1229" s="2436" t="s">
        <v>1806</v>
      </c>
      <c r="Z1229" s="2436" t="s">
        <v>1735</v>
      </c>
      <c r="AA1229" s="1660"/>
      <c r="AB1229" s="1660"/>
      <c r="AC1229" s="1660"/>
      <c r="AD1229" s="1660"/>
      <c r="AE1229" s="1660"/>
      <c r="AF1229" s="1660"/>
    </row>
    <row r="1230" spans="1:32" ht="14.1">
      <c r="A1230" s="1631"/>
      <c r="B1230" s="2416"/>
      <c r="C1230" s="1667" t="s">
        <v>1807</v>
      </c>
      <c r="D1230" s="1631"/>
      <c r="E1230" s="1631"/>
      <c r="F1230" s="1660"/>
      <c r="G1230" s="1660"/>
      <c r="H1230" s="1660"/>
      <c r="I1230" s="2069" t="s">
        <v>1808</v>
      </c>
      <c r="J1230" s="2435">
        <f>'Part VIII Scoring Criteria'!J73</f>
        <v>60</v>
      </c>
      <c r="K1230" s="2435"/>
      <c r="L1230" s="1630"/>
      <c r="M1230" s="1630"/>
      <c r="N1230" s="1630"/>
      <c r="O1230" s="1660"/>
      <c r="P1230" s="1630"/>
      <c r="Q1230" s="1660"/>
      <c r="R1230" s="2437" t="s">
        <v>1809</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1">
      <c r="A1231" s="1660"/>
      <c r="B1231" s="1660"/>
      <c r="C1231" s="1631"/>
      <c r="D1231" s="1631"/>
      <c r="E1231" s="1631"/>
      <c r="F1231" s="1660"/>
      <c r="G1231" s="1660"/>
      <c r="H1231" s="1660"/>
      <c r="I1231" s="2411" t="s">
        <v>1810</v>
      </c>
      <c r="J1231" s="2440">
        <f>'Part VIII Scoring Criteria'!J74</f>
        <v>0</v>
      </c>
      <c r="K1231" s="2440"/>
      <c r="L1231" s="1660"/>
      <c r="M1231" s="2440">
        <f>IF(J1230=0,0,M1228/J1230)</f>
        <v>0</v>
      </c>
      <c r="N1231" s="2440"/>
      <c r="O1231" s="2440"/>
      <c r="P1231" s="2440"/>
      <c r="Q1231" s="1660"/>
      <c r="R1231" s="2437" t="s">
        <v>1811</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1">
      <c r="A1232" s="1660"/>
      <c r="B1232" s="1660"/>
      <c r="C1232" s="1631"/>
      <c r="D1232" s="1631"/>
      <c r="E1232" s="1631"/>
      <c r="F1232" s="1660"/>
      <c r="G1232" s="1660"/>
      <c r="H1232" s="1660"/>
      <c r="I1232" s="2411" t="s">
        <v>1812</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1813</v>
      </c>
      <c r="S1232" s="1660"/>
      <c r="T1232" s="1660"/>
      <c r="U1232" s="1631">
        <v>2</v>
      </c>
      <c r="V1232" s="1631"/>
      <c r="W1232" s="1631">
        <v>3</v>
      </c>
      <c r="X1232" s="1631"/>
      <c r="Y1232" s="1631">
        <v>4</v>
      </c>
      <c r="Z1232" s="1631"/>
      <c r="AA1232" s="1660"/>
      <c r="AB1232" s="1660"/>
      <c r="AC1232" s="1660"/>
      <c r="AD1232" s="1660"/>
      <c r="AE1232" s="1660"/>
      <c r="AF1232" s="1660"/>
    </row>
    <row r="1233" spans="1:32" ht="14.1">
      <c r="A1233" s="1660"/>
      <c r="B1233" s="1660"/>
      <c r="C1233" s="1631"/>
      <c r="D1233" s="1631"/>
      <c r="E1233" s="1631"/>
      <c r="F1233" s="1660"/>
      <c r="G1233" s="1660"/>
      <c r="H1233" s="1660"/>
      <c r="I1233" s="2411" t="s">
        <v>1814</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1815</v>
      </c>
      <c r="S1233" s="1660"/>
      <c r="T1233" s="1660"/>
      <c r="U1233" s="1631">
        <v>1</v>
      </c>
      <c r="V1233" s="1631"/>
      <c r="W1233" s="1631">
        <v>2</v>
      </c>
      <c r="X1233" s="1631"/>
      <c r="Y1233" s="1631">
        <v>3</v>
      </c>
      <c r="Z1233" s="1631"/>
      <c r="AA1233" s="1660"/>
      <c r="AB1233" s="1660"/>
      <c r="AC1233" s="1660"/>
      <c r="AD1233" s="1660"/>
      <c r="AE1233" s="1660"/>
      <c r="AF1233" s="1660"/>
    </row>
    <row r="1234" spans="1:32" ht="14.1">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4.1">
      <c r="A1235" s="2563" t="s">
        <v>211</v>
      </c>
      <c r="B1235" s="1630" t="s">
        <v>1816</v>
      </c>
      <c r="C1235" s="1660"/>
      <c r="D1235" s="1631"/>
      <c r="E1235" s="1660"/>
      <c r="F1235" s="2442" t="s">
        <v>1817</v>
      </c>
      <c r="G1235" s="1660"/>
      <c r="H1235" s="1660"/>
      <c r="I1235" s="1660"/>
      <c r="J1235" s="1660"/>
      <c r="K1235" s="1631"/>
      <c r="L1235" s="2443" t="s">
        <v>1818</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4.1">
      <c r="A1236" s="2563"/>
      <c r="B1236" s="2416" t="s">
        <v>214</v>
      </c>
      <c r="C1236" s="1662" t="s">
        <v>1819</v>
      </c>
      <c r="D1236" s="1631"/>
      <c r="E1236" s="1631"/>
      <c r="F1236" s="2444" t="s">
        <v>1820</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4.1">
      <c r="A1237" s="2563"/>
      <c r="B1237" s="2418" t="s">
        <v>222</v>
      </c>
      <c r="C1237" s="1662" t="s">
        <v>1821</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4.1">
      <c r="A1238" s="2073"/>
      <c r="B1238" s="2446"/>
      <c r="C1238" s="1666" t="s">
        <v>1779</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4.1">
      <c r="A1239" s="2073"/>
      <c r="B1239" s="2446"/>
      <c r="C1239" s="1631" t="s">
        <v>1822</v>
      </c>
      <c r="D1239" s="1631"/>
      <c r="E1239" s="1631"/>
      <c r="F1239" s="1631"/>
      <c r="G1239" s="1631"/>
      <c r="H1239" s="1631"/>
      <c r="I1239" s="1631"/>
      <c r="J1239" s="1631"/>
      <c r="K1239" s="1631"/>
      <c r="L1239" s="1660"/>
      <c r="M1239" s="1631"/>
      <c r="N1239" s="2448"/>
      <c r="O1239" s="2420" t="str">
        <f>'Part VIII Scoring Criteria'!O82</f>
        <v>N/a</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4.1">
      <c r="A1240" s="1631"/>
      <c r="B1240" s="2409" t="s">
        <v>2284</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4.1">
      <c r="A1241" s="2424" t="str">
        <f>'Part VIII Scoring Criteria'!A84</f>
        <v xml:space="preserve">No favorable financing applied. </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1">
      <c r="A1242" s="1631"/>
      <c r="B1242" s="2409" t="s">
        <v>1437</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4.1">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4.1">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4.1">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4.1">
      <c r="A1246" s="2449" t="s">
        <v>79</v>
      </c>
      <c r="B1246" s="2067" t="s">
        <v>1824</v>
      </c>
      <c r="C1246" s="1631"/>
      <c r="D1246" s="2067"/>
      <c r="E1246" s="2067"/>
      <c r="F1246" s="1631"/>
      <c r="G1246" s="1631"/>
      <c r="H1246" s="1631"/>
      <c r="I1246" s="1631"/>
      <c r="J1246" s="1631"/>
      <c r="K1246" s="2413"/>
      <c r="L1246" s="2411" t="s">
        <v>1754</v>
      </c>
      <c r="M1246" s="2563">
        <v>10</v>
      </c>
      <c r="N1246" s="1645"/>
      <c r="O1246" s="1659">
        <f>'Part VIII Scoring Criteria'!O89</f>
        <v>10</v>
      </c>
      <c r="P1246" s="1659">
        <f>'Part VIII Scoring Criteria'!P89</f>
        <v>10</v>
      </c>
      <c r="Q1246" s="2563" t="s">
        <v>787</v>
      </c>
      <c r="R1246" s="1631"/>
      <c r="S1246" s="1631"/>
      <c r="T1246" s="1631"/>
      <c r="U1246" s="1631"/>
      <c r="V1246" s="1631"/>
      <c r="W1246" s="1631"/>
      <c r="X1246" s="1631"/>
      <c r="Y1246" s="1631"/>
      <c r="Z1246" s="1631"/>
      <c r="AA1246" s="1631"/>
      <c r="AB1246" s="1631"/>
      <c r="AC1246" s="1631"/>
      <c r="AD1246" s="1631"/>
      <c r="AE1246" s="1631"/>
      <c r="AF1246" s="1631"/>
    </row>
    <row r="1247" spans="1:32" ht="14.1">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4.1">
      <c r="A1248" s="2449"/>
      <c r="B1248" s="1630" t="s">
        <v>1825</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4.1">
      <c r="A1249" s="2563" t="s">
        <v>199</v>
      </c>
      <c r="B1249" s="1630" t="s">
        <v>1826</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4.1">
      <c r="A1250" s="2563"/>
      <c r="B1250" s="2416" t="s">
        <v>214</v>
      </c>
      <c r="C1250" s="1631" t="s">
        <v>1827</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4.1">
      <c r="A1251" s="2563"/>
      <c r="B1251" s="2418" t="s">
        <v>222</v>
      </c>
      <c r="C1251" s="1631" t="s">
        <v>1828</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4.1">
      <c r="A1252" s="2563" t="s">
        <v>211</v>
      </c>
      <c r="B1252" s="1630" t="s">
        <v>1829</v>
      </c>
      <c r="C1252" s="1631"/>
      <c r="D1252" s="2067"/>
      <c r="E1252" s="2067"/>
      <c r="F1252" s="1631"/>
      <c r="G1252" s="1631"/>
      <c r="H1252" s="1631"/>
      <c r="I1252" s="1631"/>
      <c r="J1252" s="1631"/>
      <c r="K1252" s="1631"/>
      <c r="L1252" s="2413"/>
      <c r="M1252" s="2563"/>
      <c r="N1252" s="1645"/>
      <c r="O1252" s="1659">
        <f>'Part VIII Scoring Criteria'!O95</f>
        <v>5</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4.1">
      <c r="A1253" s="2409"/>
      <c r="B1253" s="2409" t="s">
        <v>1437</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4.1">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4.1">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4.1">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4.1">
      <c r="A1257" s="2449" t="s">
        <v>81</v>
      </c>
      <c r="B1257" s="2067" t="s">
        <v>1830</v>
      </c>
      <c r="C1257" s="1666"/>
      <c r="D1257" s="1666"/>
      <c r="E1257" s="1666"/>
      <c r="F1257" s="1666"/>
      <c r="G1257" s="2410" t="s">
        <v>1831</v>
      </c>
      <c r="H1257" s="1666"/>
      <c r="I1257" s="1660"/>
      <c r="J1257" s="1660"/>
      <c r="K1257" s="1666"/>
      <c r="L1257" s="2411" t="s">
        <v>1754</v>
      </c>
      <c r="M1257" s="2563">
        <v>5</v>
      </c>
      <c r="N1257" s="1664"/>
      <c r="O1257" s="1659">
        <f>'Part VIII Scoring Criteria'!O100</f>
        <v>4</v>
      </c>
      <c r="P1257" s="1659">
        <f>'Part VIII Scoring Criteria'!P100</f>
        <v>2</v>
      </c>
      <c r="Q1257" s="2563" t="s">
        <v>787</v>
      </c>
      <c r="R1257" s="2415"/>
      <c r="S1257" s="1660"/>
      <c r="T1257" s="1660"/>
      <c r="U1257" s="1660"/>
      <c r="V1257" s="1660"/>
      <c r="W1257" s="1660"/>
      <c r="X1257" s="1660"/>
      <c r="Y1257" s="1660"/>
      <c r="Z1257" s="1660"/>
      <c r="AA1257" s="1660"/>
      <c r="AB1257" s="1660"/>
      <c r="AC1257" s="1660"/>
      <c r="AD1257" s="1660"/>
      <c r="AE1257" s="1660"/>
      <c r="AF1257" s="1660"/>
    </row>
    <row r="1258" spans="1:32" ht="14.1">
      <c r="A1258" s="2563" t="s">
        <v>199</v>
      </c>
      <c r="B1258" s="1630" t="s">
        <v>1832</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25" customHeight="1">
      <c r="A1259" s="2563"/>
      <c r="B1259" s="1631" t="s">
        <v>1833</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4.1">
      <c r="A1260" s="2563"/>
      <c r="B1260" s="2416" t="s">
        <v>214</v>
      </c>
      <c r="C1260" s="1631" t="s">
        <v>1834</v>
      </c>
      <c r="D1260" s="1631"/>
      <c r="E1260" s="1631"/>
      <c r="F1260" s="1631"/>
      <c r="G1260" s="1631"/>
      <c r="H1260" s="1631"/>
      <c r="I1260" s="1631"/>
      <c r="J1260" s="2451" t="s">
        <v>1541</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4.1">
      <c r="A1261" s="2563"/>
      <c r="B1261" s="2418" t="s">
        <v>222</v>
      </c>
      <c r="C1261" s="1631" t="s">
        <v>1835</v>
      </c>
      <c r="D1261" s="1631"/>
      <c r="E1261" s="1631"/>
      <c r="F1261" s="1631"/>
      <c r="G1261" s="1631"/>
      <c r="H1261" s="1631"/>
      <c r="I1261" s="1665"/>
      <c r="J1261" s="2452" t="s">
        <v>1543</v>
      </c>
      <c r="K1261" s="1664" t="s">
        <v>1544</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4.1">
      <c r="A1262" s="1660"/>
      <c r="B1262" s="1660" t="s">
        <v>1837</v>
      </c>
      <c r="C1262" s="1660"/>
      <c r="D1262" s="1660"/>
      <c r="E1262" s="1660"/>
      <c r="F1262" s="1660"/>
      <c r="G1262" s="1660"/>
      <c r="H1262" s="2411"/>
      <c r="I1262" s="1660"/>
      <c r="J1262" s="2565">
        <f>'Part VIII Scoring Criteria'!J105</f>
        <v>6</v>
      </c>
      <c r="K1262" s="2452">
        <v>0.1</v>
      </c>
      <c r="L1262" s="1660"/>
      <c r="M1262" s="2411" t="s">
        <v>1838</v>
      </c>
      <c r="N1262" s="2564"/>
      <c r="O1262" s="1659">
        <f>'Part VIII Scoring Criteria'!O105</f>
        <v>6</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25" customHeight="1">
      <c r="A1263" s="1660"/>
      <c r="B1263" s="1660" t="s">
        <v>2285</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4.1">
      <c r="A1264" s="2563" t="s">
        <v>211</v>
      </c>
      <c r="B1264" s="1630" t="s">
        <v>1840</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4.1">
      <c r="A1265" s="2563" t="s">
        <v>232</v>
      </c>
      <c r="B1265" s="1630" t="s">
        <v>1841</v>
      </c>
      <c r="C1265" s="1631"/>
      <c r="D1265" s="1631"/>
      <c r="E1265" s="1631"/>
      <c r="F1265" s="1631"/>
      <c r="G1265" s="2453" t="s">
        <v>1842</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4.1">
      <c r="A1266" s="2449"/>
      <c r="B1266" s="1631"/>
      <c r="C1266" s="1630" t="s">
        <v>1825</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4.1">
      <c r="A1267" s="2449"/>
      <c r="B1267" s="1631"/>
      <c r="C1267" s="1630" t="s">
        <v>1843</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4.1">
      <c r="A1268" s="1631"/>
      <c r="B1268" s="2409" t="s">
        <v>2284</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4.1">
      <c r="A1269" s="2424" t="str">
        <f>'Part VIII Scoring Criteria'!A112</f>
        <v xml:space="preserve">Applicant has included signed MOU in respective folder. Applicant has a solid history with Section 811 utlization on properties with DCA. </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1">
      <c r="A1270" s="1660"/>
      <c r="B1270" s="2424" t="s">
        <v>1437</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4.1">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4.1">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4.1">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4.1">
      <c r="A1274" s="2449" t="s">
        <v>1475</v>
      </c>
      <c r="B1274" s="2067" t="s">
        <v>1845</v>
      </c>
      <c r="C1274" s="1631"/>
      <c r="D1274" s="2067"/>
      <c r="E1274" s="2067"/>
      <c r="F1274" s="1631"/>
      <c r="G1274" s="1631"/>
      <c r="H1274" s="1631"/>
      <c r="I1274" s="1631"/>
      <c r="J1274" s="1631"/>
      <c r="K1274" s="1631"/>
      <c r="L1274" s="2411" t="s">
        <v>1754</v>
      </c>
      <c r="M1274" s="2563">
        <v>13</v>
      </c>
      <c r="N1274" s="1645"/>
      <c r="O1274" s="1659">
        <f>'Part VIII Scoring Criteria'!O117</f>
        <v>12</v>
      </c>
      <c r="P1274" s="1659">
        <f>'Part VIII Scoring Criteria'!P117</f>
        <v>0</v>
      </c>
      <c r="Q1274" s="2563" t="s">
        <v>787</v>
      </c>
      <c r="R1274" s="2415"/>
      <c r="S1274" s="1631"/>
      <c r="T1274" s="1631"/>
      <c r="U1274" s="1631"/>
      <c r="V1274" s="1631"/>
      <c r="W1274" s="1631"/>
      <c r="X1274" s="1631"/>
      <c r="Y1274" s="1631"/>
      <c r="Z1274" s="1631"/>
      <c r="AA1274" s="1631"/>
      <c r="AB1274" s="1631"/>
      <c r="AC1274" s="1631"/>
      <c r="AD1274" s="1631"/>
      <c r="AE1274" s="1631"/>
      <c r="AF1274" s="1631"/>
    </row>
    <row r="1275" spans="1:32" ht="14.1">
      <c r="A1275" s="2563" t="s">
        <v>199</v>
      </c>
      <c r="B1275" s="1630" t="s">
        <v>1846</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4.1">
      <c r="A1276" s="2563"/>
      <c r="B1276" s="1631" t="s">
        <v>1847</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4.1">
      <c r="A1277" s="2563"/>
      <c r="B1277" s="1631"/>
      <c r="C1277" s="1630" t="s">
        <v>1848</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4.1">
      <c r="A1278" s="2563"/>
      <c r="B1278" s="2416"/>
      <c r="C1278" s="1662" t="s">
        <v>1849</v>
      </c>
      <c r="D1278" s="1631"/>
      <c r="E1278" s="1631"/>
      <c r="F1278" s="2563"/>
      <c r="G1278" s="1631"/>
      <c r="H1278" s="1631"/>
      <c r="I1278" s="2563"/>
      <c r="J1278" s="1645" t="s">
        <v>1850</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4.1">
      <c r="A1279" s="2563"/>
      <c r="B1279" s="2417"/>
      <c r="C1279" s="1630"/>
      <c r="D1279" s="1662" t="s">
        <v>1851</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4.1">
      <c r="A1280" s="2563"/>
      <c r="B1280" s="2417"/>
      <c r="C1280" s="1630"/>
      <c r="D1280" s="1662" t="s">
        <v>1853</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4.1">
      <c r="A1281" s="2563"/>
      <c r="B1281" s="2417"/>
      <c r="C1281" s="1662" t="s">
        <v>1854</v>
      </c>
      <c r="D1281" s="1630"/>
      <c r="E1281" s="1631"/>
      <c r="F1281" s="2563"/>
      <c r="G1281" s="1631"/>
      <c r="H1281" s="1631"/>
      <c r="I1281" s="256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4.1">
      <c r="A1282" s="2563"/>
      <c r="B1282" s="2417"/>
      <c r="C1282" s="1662" t="s">
        <v>1855</v>
      </c>
      <c r="D1282" s="1630"/>
      <c r="E1282" s="1631"/>
      <c r="F1282" s="2563"/>
      <c r="G1282" s="1631"/>
      <c r="H1282" s="1631"/>
      <c r="I1282" s="256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4.1">
      <c r="A1283" s="2563"/>
      <c r="B1283" s="2416"/>
      <c r="C1283" s="1662" t="s">
        <v>1856</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4.1">
      <c r="A1284" s="2563"/>
      <c r="B1284" s="2416"/>
      <c r="C1284" s="2415" t="s">
        <v>1857</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4.1">
      <c r="A1285" s="2563"/>
      <c r="B1285" s="2418"/>
      <c r="C1285" s="1662" t="s">
        <v>1858</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4.1">
      <c r="A1286" s="2563"/>
      <c r="B1286" s="2418"/>
      <c r="C1286" s="1665" t="s">
        <v>1859</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4.1">
      <c r="A1287" s="2563"/>
      <c r="B1287" s="2418"/>
      <c r="C1287" s="1662" t="s">
        <v>1860</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4.1">
      <c r="A1288" s="2563"/>
      <c r="B1288" s="2416"/>
      <c r="C1288" s="1662" t="s">
        <v>1861</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4.1">
      <c r="A1289" s="2563"/>
      <c r="B1289" s="2418"/>
      <c r="C1289" s="1662" t="s">
        <v>1862</v>
      </c>
      <c r="D1289" s="1631"/>
      <c r="E1289" s="1631"/>
      <c r="F1289" s="2563"/>
      <c r="G1289" s="1631"/>
      <c r="H1289" s="1631"/>
      <c r="I1289" s="2563"/>
      <c r="J1289" s="2420" t="str">
        <f>'Part VIII Scoring Criteria'!J132</f>
        <v>N/A</v>
      </c>
      <c r="K1289" s="1662"/>
      <c r="L1289" s="2413" t="str">
        <f t="shared" si="421"/>
        <v/>
      </c>
      <c r="M1289" s="2445">
        <v>1</v>
      </c>
      <c r="N1289" s="2069"/>
      <c r="O1289" s="1659">
        <f>'Part VIII Scoring Criteria'!O132</f>
        <v>0</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4.1">
      <c r="A1290" s="2563" t="s">
        <v>211</v>
      </c>
      <c r="B1290" s="1630" t="s">
        <v>1863</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4.1">
      <c r="A1291" s="1660"/>
      <c r="B1291" s="2457" t="str">
        <f>'Part VIII Scoring Criteria'!B134</f>
        <v xml:space="preserve">Readiness to Proceed Documents have been included in folder 08.  We have utilized the folder structure for Threshold Review inside of folder 08 in order to best organize the documents for DCA.  The follwoing are the locations of the readiness to proceed items for further clarity: Site Control is in folder - 0807, Site Zoning folder - 0809, Public Water/Sewer - 0811, Operating Utilities - 0810, CSPD and Site Information - 0814, Preliminary Financing - 0801, Phase 1 - 0806, Estimate provided by General Contractor - 0801 Feasiblity along with the financing commitments, Market Study - 0804. </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1">
      <c r="A1292" s="1631"/>
      <c r="B1292" s="2409" t="s">
        <v>2284</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4.1">
      <c r="A1293" s="2424" t="str">
        <f>'Part VIII Scoring Criteria'!A136</f>
        <v>We have our full development team including civil engineer and surveyor ready to go, lets go!</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1">
      <c r="A1294" s="2409"/>
      <c r="B1294" s="2409" t="s">
        <v>1437</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4.1">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4.1">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4.1">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4.1">
      <c r="A1298" s="2066" t="s">
        <v>1478</v>
      </c>
      <c r="B1298" s="2067" t="s">
        <v>1866</v>
      </c>
      <c r="C1298" s="1631"/>
      <c r="D1298" s="1631"/>
      <c r="E1298" s="1631"/>
      <c r="F1298" s="1631"/>
      <c r="G1298" s="1630"/>
      <c r="H1298" s="1631"/>
      <c r="I1298" s="1630"/>
      <c r="J1298" s="2563"/>
      <c r="K1298" s="2458" t="s">
        <v>1867</v>
      </c>
      <c r="L1298" s="2411" t="s">
        <v>1754</v>
      </c>
      <c r="M1298" s="2563">
        <v>3</v>
      </c>
      <c r="N1298" s="1645"/>
      <c r="O1298" s="1659">
        <f>'Part VIII Scoring Criteria'!O141</f>
        <v>2</v>
      </c>
      <c r="P1298" s="1659">
        <f>'Part VIII Scoring Criteria'!P141</f>
        <v>0</v>
      </c>
      <c r="Q1298" s="2563" t="s">
        <v>787</v>
      </c>
      <c r="R1298" s="2563">
        <f>$O$12</f>
        <v>0</v>
      </c>
      <c r="S1298" s="1667"/>
      <c r="T1298" s="1631"/>
      <c r="U1298" s="1631"/>
      <c r="V1298" s="1631"/>
      <c r="W1298" s="1631"/>
      <c r="X1298" s="1631"/>
      <c r="Y1298" s="1631"/>
      <c r="Z1298" s="1631"/>
      <c r="AA1298" s="1631"/>
      <c r="AB1298" s="1631"/>
      <c r="AC1298" s="1631"/>
      <c r="AD1298" s="1631"/>
      <c r="AE1298" s="1631"/>
      <c r="AF1298" s="1631"/>
    </row>
    <row r="1299" spans="1:32" ht="14.1">
      <c r="A1299" s="2459"/>
      <c r="B1299" s="2460"/>
      <c r="C1299" s="1660"/>
      <c r="D1299" s="1660"/>
      <c r="E1299" s="1631"/>
      <c r="F1299" s="1660" t="s">
        <v>1868</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4.1">
      <c r="A1300" s="2563" t="s">
        <v>199</v>
      </c>
      <c r="B1300" s="2415" t="s">
        <v>1869</v>
      </c>
      <c r="C1300" s="1631"/>
      <c r="D1300" s="1631"/>
      <c r="E1300" s="1631"/>
      <c r="F1300" s="1631"/>
      <c r="G1300" s="2462"/>
      <c r="H1300" s="1660" t="s">
        <v>647</v>
      </c>
      <c r="I1300" s="1631"/>
      <c r="J1300" s="2463" t="str">
        <f>'Part V-Revenues &amp; Expenses'!$O$53</f>
        <v>40% of Units at 60% of AMI</v>
      </c>
      <c r="K1300" s="1631"/>
      <c r="L1300" s="1631"/>
      <c r="M1300" s="256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4.1">
      <c r="A1301" s="2563"/>
      <c r="B1301" s="2416" t="s">
        <v>214</v>
      </c>
      <c r="C1301" s="2464" t="s">
        <v>1870</v>
      </c>
      <c r="D1301" s="1631"/>
      <c r="E1301" s="1631"/>
      <c r="F1301" s="1631"/>
      <c r="G1301" s="1631"/>
      <c r="H1301" s="1631" t="s">
        <v>1871</v>
      </c>
      <c r="I1301" s="1631"/>
      <c r="J1301" s="1631"/>
      <c r="K1301" s="2465">
        <f>'Part V-Revenues &amp; Expenses'!$B$50</f>
        <v>57.777777777777779</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4.1">
      <c r="A1302" s="2563"/>
      <c r="B1302" s="2418" t="s">
        <v>222</v>
      </c>
      <c r="C1302" s="2464" t="s">
        <v>1872</v>
      </c>
      <c r="D1302" s="1631"/>
      <c r="E1302" s="1631"/>
      <c r="F1302" s="1631"/>
      <c r="G1302" s="1631"/>
      <c r="H1302" s="1631"/>
      <c r="I1302" s="1631"/>
      <c r="J1302" s="1631"/>
      <c r="K1302" s="1660"/>
      <c r="L1302" s="2413" t="str">
        <f t="shared" si="422"/>
        <v/>
      </c>
      <c r="M1302" s="1645">
        <v>2</v>
      </c>
      <c r="N1302" s="2417"/>
      <c r="O1302" s="1659">
        <f>'Part VIII Scoring Criteria'!O145</f>
        <v>2</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4.1">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4.1">
      <c r="A1304" s="2563" t="s">
        <v>211</v>
      </c>
      <c r="B1304" s="2415" t="s">
        <v>1873</v>
      </c>
      <c r="C1304" s="1660"/>
      <c r="D1304" s="1660"/>
      <c r="E1304" s="1660"/>
      <c r="F1304" s="1660"/>
      <c r="G1304" s="1660"/>
      <c r="H1304" s="1661" t="s">
        <v>1874</v>
      </c>
      <c r="I1304" s="1631"/>
      <c r="J1304" s="1660"/>
      <c r="K1304" s="2468">
        <f>'Part VIII Scoring Criteria'!K147</f>
        <v>0</v>
      </c>
      <c r="L1304" s="1660"/>
      <c r="M1304" s="256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1">
      <c r="A1305" s="1631"/>
      <c r="B1305" s="2409" t="s">
        <v>1437</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4.1">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4.1">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4.1">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1481</v>
      </c>
      <c r="B1309" s="2067" t="s">
        <v>1875</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787</v>
      </c>
      <c r="R1309" s="2563"/>
      <c r="S1309" s="1631"/>
      <c r="T1309" s="1631"/>
      <c r="U1309" s="1631"/>
      <c r="V1309" s="1631"/>
      <c r="W1309" s="1631"/>
      <c r="X1309" s="1631"/>
      <c r="Y1309" s="1631"/>
      <c r="Z1309" s="1631"/>
      <c r="AA1309" s="1631"/>
      <c r="AB1309" s="1631"/>
      <c r="AC1309" s="1631"/>
      <c r="AD1309" s="1631"/>
      <c r="AE1309" s="1631"/>
      <c r="AF1309" s="1631"/>
    </row>
    <row r="1310" spans="1:32" ht="14.1">
      <c r="A1310" s="1660"/>
      <c r="B1310" s="2470" t="s">
        <v>1876</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4.1">
      <c r="A1311" s="1631"/>
      <c r="B1311" s="2409" t="s">
        <v>2284</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4.1">
      <c r="A1312" s="2424" t="str">
        <f>'Part VIII Scoring Criteria'!A155</f>
        <v xml:space="preserve">Applicant will comply with QAP requirements. Applicant has been in coorespondence with the Blue Ridge Housing Authority. </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1">
      <c r="A1313" s="2409"/>
      <c r="B1313" s="2409" t="s">
        <v>1437</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4.1">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4.1">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4.1">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4.1">
      <c r="A1317" s="2066" t="s">
        <v>1489</v>
      </c>
      <c r="B1317" s="2067" t="s">
        <v>1878</v>
      </c>
      <c r="C1317" s="1660"/>
      <c r="D1317" s="1660"/>
      <c r="E1317" s="1660"/>
      <c r="F1317" s="1660"/>
      <c r="G1317" s="1660"/>
      <c r="H1317" s="1660"/>
      <c r="I1317" s="1660"/>
      <c r="J1317" s="1660"/>
      <c r="K1317" s="1660"/>
      <c r="L1317" s="2411" t="s">
        <v>1754</v>
      </c>
      <c r="M1317" s="2563">
        <v>20</v>
      </c>
      <c r="N1317" s="2069"/>
      <c r="O1317" s="2408">
        <f>'Part VIII Scoring Criteria'!O160</f>
        <v>20</v>
      </c>
      <c r="P1317" s="2408">
        <f>'Part VIII Scoring Criteria'!P160</f>
        <v>0</v>
      </c>
      <c r="Q1317" s="2563" t="s">
        <v>787</v>
      </c>
      <c r="R1317" s="2563">
        <f>$O$12</f>
        <v>0</v>
      </c>
      <c r="S1317" s="1660"/>
      <c r="T1317" s="1660"/>
      <c r="U1317" s="1660"/>
      <c r="V1317" s="1660"/>
      <c r="W1317" s="1660"/>
      <c r="X1317" s="1660"/>
      <c r="Y1317" s="1660"/>
      <c r="Z1317" s="1660"/>
      <c r="AA1317" s="1660"/>
      <c r="AB1317" s="1660"/>
      <c r="AC1317" s="1660"/>
      <c r="AD1317" s="1660"/>
      <c r="AE1317" s="1660"/>
      <c r="AF1317" s="1660"/>
    </row>
    <row r="1318" spans="1:32" ht="14.1">
      <c r="A1318" s="2563" t="s">
        <v>199</v>
      </c>
      <c r="B1318" s="1630" t="s">
        <v>1879</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4.1">
      <c r="A1319" s="2563" t="s">
        <v>211</v>
      </c>
      <c r="B1319" s="1630" t="s">
        <v>1880</v>
      </c>
      <c r="C1319" s="1631"/>
      <c r="D1319" s="1631"/>
      <c r="E1319" s="1631"/>
      <c r="F1319" s="1631"/>
      <c r="G1319" s="1631"/>
      <c r="H1319" s="2069"/>
      <c r="I1319" s="1630"/>
      <c r="J1319" s="1630"/>
      <c r="K1319" s="2450"/>
      <c r="L1319" s="1630"/>
      <c r="M1319" s="1645" t="s">
        <v>1881</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1">
      <c r="A1320" s="1631"/>
      <c r="B1320" s="2409" t="s">
        <v>2284</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4.1">
      <c r="A1321" s="2424" t="str">
        <f>'Part VIII Scoring Criteria'!A164</f>
        <v xml:space="preserve">The development site is within the required driving distance to achieve over 20 points in desirables. Also the cool summers in the north Georgia mountain areas are very desirable. </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1">
      <c r="A1322" s="1631"/>
      <c r="B1322" s="2409" t="s">
        <v>1437</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4.1">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4.1">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4.1">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4.1">
      <c r="A1326" s="2066" t="s">
        <v>1496</v>
      </c>
      <c r="B1326" s="2067" t="s">
        <v>1883</v>
      </c>
      <c r="C1326" s="1660"/>
      <c r="D1326" s="1660"/>
      <c r="E1326" s="1660"/>
      <c r="F1326" s="1660"/>
      <c r="G1326" s="1660"/>
      <c r="H1326" s="2471"/>
      <c r="I1326" s="2415"/>
      <c r="J1326" s="2563"/>
      <c r="K1326" s="2563"/>
      <c r="L1326" s="2411" t="s">
        <v>1754</v>
      </c>
      <c r="M1326" s="2563">
        <v>6</v>
      </c>
      <c r="N1326" s="2069"/>
      <c r="O1326" s="2408">
        <f>'Part VIII Scoring Criteria'!O169</f>
        <v>2</v>
      </c>
      <c r="P1326" s="2408">
        <f>'Part VIII Scoring Criteria'!P169</f>
        <v>0</v>
      </c>
      <c r="Q1326" s="2563" t="s">
        <v>787</v>
      </c>
      <c r="R1326" s="2563">
        <f>$O$12</f>
        <v>0</v>
      </c>
      <c r="S1326" s="1660"/>
      <c r="T1326" s="1660"/>
      <c r="U1326" s="1660"/>
      <c r="V1326" s="1660"/>
      <c r="W1326" s="1660"/>
      <c r="X1326" s="1660"/>
      <c r="Y1326" s="1660"/>
      <c r="Z1326" s="1660"/>
      <c r="AA1326" s="1660"/>
      <c r="AB1326" s="1660"/>
      <c r="AC1326" s="1660"/>
      <c r="AD1326" s="1660"/>
      <c r="AE1326" s="1660"/>
      <c r="AF1326" s="1660"/>
    </row>
    <row r="1327" spans="1:32" ht="14.1">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25" customHeight="1">
      <c r="A1328" s="2066"/>
      <c r="B1328" s="1631" t="s">
        <v>1884</v>
      </c>
      <c r="C1328" s="1660"/>
      <c r="D1328" s="1660"/>
      <c r="E1328" s="1660"/>
      <c r="F1328" s="1631" t="s">
        <v>1885</v>
      </c>
      <c r="G1328" s="1631"/>
      <c r="H1328" s="1631"/>
      <c r="I1328" s="1631"/>
      <c r="J1328" s="1631" t="s">
        <v>1886</v>
      </c>
      <c r="K1328" s="1631"/>
      <c r="L1328" s="1631"/>
      <c r="M1328" s="1631"/>
      <c r="N1328" s="2069"/>
      <c r="O1328" s="2472" t="s">
        <v>1887</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1">
      <c r="A1329" s="1660"/>
      <c r="B1329" s="2473"/>
      <c r="C1329" s="1662" t="s">
        <v>1888</v>
      </c>
      <c r="D1329" s="1660"/>
      <c r="E1329" s="1660"/>
      <c r="F1329" s="1631" t="str">
        <f>'Part VIII Scoring Criteria'!F172</f>
        <v xml:space="preserve">34.844039		</v>
      </c>
      <c r="G1329" s="1631"/>
      <c r="H1329" s="1631"/>
      <c r="I1329" s="1631"/>
      <c r="J1329" s="1631" t="str">
        <f>'Part VIII Scoring Criteria'!J172</f>
        <v xml:space="preserve">84.336024	</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1">
      <c r="A1330" s="2473"/>
      <c r="B1330" s="1665"/>
      <c r="C1330" s="1662" t="s">
        <v>1891</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1">
      <c r="A1331" s="1665"/>
      <c r="B1331" s="1660" t="s">
        <v>1892</v>
      </c>
      <c r="C1331" s="1660"/>
      <c r="D1331" s="1660"/>
      <c r="E1331" s="1660"/>
      <c r="F1331" s="2564" t="s">
        <v>1893</v>
      </c>
      <c r="G1331" s="1631" t="s">
        <v>1894</v>
      </c>
      <c r="H1331" s="1631"/>
      <c r="I1331" s="1631"/>
      <c r="J1331" s="1631" t="s">
        <v>1895</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1">
      <c r="A1332" s="1665"/>
      <c r="B1332" s="1631" t="str">
        <f>'Part VIII Scoring Criteria'!B175</f>
        <v>The Mountain Area Transportation System (M.A.T.S.)</v>
      </c>
      <c r="C1332" s="1631"/>
      <c r="D1332" s="1631"/>
      <c r="E1332" s="1631"/>
      <c r="F1332" s="2475" t="str">
        <f>'Part VIII Scoring Criteria'!F175</f>
        <v>706-632-7203</v>
      </c>
      <c r="G1332" s="1631" t="str">
        <f>'Part VIII Scoring Criteria'!G175</f>
        <v>kallen@fannincountyga.org</v>
      </c>
      <c r="H1332" s="1631"/>
      <c r="I1332" s="1631"/>
      <c r="J1332" s="1631" t="str">
        <f>'Part VIII Scoring Criteria'!J175</f>
        <v>https://www.fannincountyga.com/m-a-t-s-transit-service/</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4.1">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4.1">
      <c r="A1334" s="2420" t="s">
        <v>199</v>
      </c>
      <c r="B1334" s="1630" t="s">
        <v>1900</v>
      </c>
      <c r="C1334" s="1660"/>
      <c r="D1334" s="1660"/>
      <c r="E1334" s="1660"/>
      <c r="F1334" s="2067"/>
      <c r="G1334" s="1660"/>
      <c r="H1334" s="1660"/>
      <c r="I1334" s="1660"/>
      <c r="J1334" s="1660"/>
      <c r="K1334" s="1660"/>
      <c r="L1334" s="2443" t="s">
        <v>1818</v>
      </c>
      <c r="M1334" s="2563">
        <v>6</v>
      </c>
      <c r="N1334" s="2446"/>
      <c r="O1334" s="2408">
        <f>'Part VIII Scoring Criteria'!O177</f>
        <v>0</v>
      </c>
      <c r="P1334" s="2408">
        <f>'Part VIII Scoring Criteria'!P177</f>
        <v>0</v>
      </c>
      <c r="Q1334" s="2563"/>
      <c r="R1334" s="1660"/>
      <c r="S1334" s="2477" t="s">
        <v>1901</v>
      </c>
      <c r="T1334" s="2477" t="s">
        <v>1902</v>
      </c>
      <c r="U1334" s="1660"/>
      <c r="V1334" s="1660"/>
      <c r="W1334" s="1660"/>
      <c r="X1334" s="1660"/>
      <c r="Y1334" s="1660"/>
      <c r="Z1334" s="1660"/>
      <c r="AA1334" s="1660"/>
      <c r="AB1334" s="1660"/>
      <c r="AC1334" s="1660"/>
      <c r="AD1334" s="1660"/>
      <c r="AE1334" s="1660"/>
      <c r="AF1334" s="1660"/>
    </row>
    <row r="1335" spans="1:32" ht="14.25" customHeight="1">
      <c r="A1335" s="1664"/>
      <c r="B1335" s="2418" t="s">
        <v>214</v>
      </c>
      <c r="C1335" s="1665" t="s">
        <v>2286</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1904</v>
      </c>
      <c r="S1335" s="2389">
        <v>0.25</v>
      </c>
      <c r="T1335" s="2389">
        <v>5</v>
      </c>
      <c r="U1335" s="1665"/>
      <c r="V1335" s="1665"/>
      <c r="W1335" s="1665"/>
      <c r="X1335" s="1665"/>
      <c r="Y1335" s="1665"/>
      <c r="Z1335" s="1665"/>
      <c r="AA1335" s="1665"/>
      <c r="AB1335" s="1665"/>
      <c r="AC1335" s="1665"/>
      <c r="AD1335" s="1665"/>
      <c r="AE1335" s="1665"/>
      <c r="AF1335" s="1665"/>
    </row>
    <row r="1336" spans="1:32" ht="14.1">
      <c r="A1336" s="2563" t="s">
        <v>340</v>
      </c>
      <c r="B1336" s="2418" t="s">
        <v>222</v>
      </c>
      <c r="C1336" s="1631" t="s">
        <v>2287</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4.1">
      <c r="A1337" s="2420" t="s">
        <v>211</v>
      </c>
      <c r="B1337" s="2403" t="s">
        <v>1906</v>
      </c>
      <c r="C1337" s="1665"/>
      <c r="D1337" s="1665"/>
      <c r="E1337" s="1665"/>
      <c r="F1337" s="2423"/>
      <c r="G1337" s="1665"/>
      <c r="H1337" s="1631"/>
      <c r="I1337" s="1631"/>
      <c r="J1337" s="1665"/>
      <c r="K1337" s="1665"/>
      <c r="L1337" s="2479"/>
      <c r="M1337" s="2563">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4.1">
      <c r="A1338" s="2066"/>
      <c r="B1338" s="2480" t="s">
        <v>214</v>
      </c>
      <c r="C1338" s="1631" t="s">
        <v>2288</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1908</v>
      </c>
      <c r="S1338" s="2389">
        <v>0.25</v>
      </c>
      <c r="T1338" s="2389">
        <v>3</v>
      </c>
      <c r="U1338" s="1665"/>
      <c r="V1338" s="1660"/>
      <c r="W1338" s="1660"/>
      <c r="X1338" s="1660"/>
      <c r="Y1338" s="1660"/>
      <c r="Z1338" s="1660"/>
      <c r="AA1338" s="1660"/>
      <c r="AB1338" s="1660"/>
      <c r="AC1338" s="1660"/>
      <c r="AD1338" s="1660"/>
      <c r="AE1338" s="1660"/>
      <c r="AF1338" s="1660"/>
    </row>
    <row r="1339" spans="1:32" ht="14.1">
      <c r="A1339" s="2563" t="s">
        <v>340</v>
      </c>
      <c r="B1339" s="2480" t="s">
        <v>222</v>
      </c>
      <c r="C1339" s="1631" t="s">
        <v>2289</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25" customHeight="1">
      <c r="A1340" s="2420" t="s">
        <v>340</v>
      </c>
      <c r="B1340" s="2480" t="s">
        <v>226</v>
      </c>
      <c r="C1340" s="1665" t="s">
        <v>2290</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1">
      <c r="A1341" s="1631"/>
      <c r="B1341" s="2409" t="s">
        <v>2284</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4.1">
      <c r="A1342" s="2424" t="str">
        <f>'Part VIII Scoring Criteria'!A185</f>
        <v>Rural transit service serving all of Fannin County. Hours: Monday through Friday 7:00am to 3:30pm;  Rates: $2.00 one way, up to 10 miles; $3.00 one way, over 10 miles</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1">
      <c r="A1343" s="1631"/>
      <c r="B1343" s="2409" t="s">
        <v>1437</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4.1">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4.1">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4.1">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4.1">
      <c r="A1347" s="2066" t="s">
        <v>1518</v>
      </c>
      <c r="B1347" s="2067" t="s">
        <v>1912</v>
      </c>
      <c r="C1347" s="1666"/>
      <c r="D1347" s="1666"/>
      <c r="E1347" s="1666"/>
      <c r="F1347" s="1660"/>
      <c r="G1347" s="2563"/>
      <c r="H1347" s="2415"/>
      <c r="I1347" s="1660"/>
      <c r="J1347" s="1660"/>
      <c r="K1347" s="1660"/>
      <c r="L1347" s="2411" t="s">
        <v>1754</v>
      </c>
      <c r="M1347" s="2563">
        <v>3</v>
      </c>
      <c r="N1347" s="1664"/>
      <c r="O1347" s="1659">
        <f>'Part VIII Scoring Criteria'!O190</f>
        <v>3</v>
      </c>
      <c r="P1347" s="1659">
        <f>'Part VIII Scoring Criteria'!P190</f>
        <v>0</v>
      </c>
      <c r="Q1347" s="2412" t="str">
        <f>IF(OR($O1347&lt;=$M1347,$O1347=0,$O1347=""),"","*CHECK!*")</f>
        <v/>
      </c>
      <c r="R1347" s="2415" t="s">
        <v>787</v>
      </c>
      <c r="S1347" s="2563">
        <f>$O$12</f>
        <v>0</v>
      </c>
      <c r="T1347" s="1660"/>
      <c r="U1347" s="1660"/>
      <c r="V1347" s="1660"/>
      <c r="W1347" s="1660"/>
      <c r="X1347" s="1660"/>
      <c r="Y1347" s="1660"/>
      <c r="Z1347" s="1660"/>
      <c r="AA1347" s="1660"/>
      <c r="AB1347" s="1660"/>
      <c r="AC1347" s="1660"/>
      <c r="AD1347" s="1660"/>
      <c r="AE1347" s="1660"/>
      <c r="AF1347" s="1660"/>
    </row>
    <row r="1348" spans="1:32" ht="14.25" customHeight="1">
      <c r="A1348" s="1660"/>
      <c r="B1348" s="2481"/>
      <c r="C1348" s="2481"/>
      <c r="D1348" s="2481"/>
      <c r="E1348" s="2427"/>
      <c r="F1348" s="2427" t="s">
        <v>2291</v>
      </c>
      <c r="G1348" s="2427"/>
      <c r="H1348" s="2427" t="s">
        <v>2292</v>
      </c>
      <c r="I1348" s="2427"/>
      <c r="J1348" s="2427" t="s">
        <v>2293</v>
      </c>
      <c r="K1348" s="2482"/>
      <c r="L1348" s="2427" t="s">
        <v>1916</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4.1">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4.1">
      <c r="A1350" s="1660"/>
      <c r="B1350" s="2483" t="s">
        <v>1917</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4.1">
      <c r="A1351" s="1660"/>
      <c r="B1351" s="1631" t="str">
        <f>'Part VIII Scoring Criteria'!B194</f>
        <v>Blue Ridge Elementary School</v>
      </c>
      <c r="C1351" s="1631"/>
      <c r="D1351" s="1631"/>
      <c r="E1351" s="1631"/>
      <c r="F1351" s="1631" t="str">
        <f>'Part VIII Scoring Criteria'!F194</f>
        <v>No</v>
      </c>
      <c r="G1351" s="1631"/>
      <c r="H1351" s="1631" t="str">
        <f>'Part VIII Scoring Criteria'!H194</f>
        <v>Yes</v>
      </c>
      <c r="I1351" s="1631"/>
      <c r="J1351" s="1631" t="str">
        <f>'Part VIII Scoring Criteria'!J194</f>
        <v>No</v>
      </c>
      <c r="K1351" s="1631"/>
      <c r="L1351" s="1630" t="str">
        <f>'Part VIII Scoring Criteria'!L194</f>
        <v>No</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4.1">
      <c r="A1352" s="1660"/>
      <c r="B1352" s="1631" t="str">
        <f>'Part VIII Scoring Criteria'!B195</f>
        <v>Fannin County Middle School</v>
      </c>
      <c r="C1352" s="1631"/>
      <c r="D1352" s="1631"/>
      <c r="E1352" s="1631"/>
      <c r="F1352" s="1631" t="str">
        <f>'Part VIII Scoring Criteria'!F195</f>
        <v>Yes</v>
      </c>
      <c r="G1352" s="1631"/>
      <c r="H1352" s="1631" t="str">
        <f>'Part VIII Scoring Criteria'!H195</f>
        <v>Yes</v>
      </c>
      <c r="I1352" s="1631"/>
      <c r="J1352" s="1631" t="str">
        <f>'Part VIII Scoring Criteria'!J195</f>
        <v>Yes</v>
      </c>
      <c r="K1352" s="1631"/>
      <c r="L1352" s="1630" t="str">
        <f>'Part VIII Scoring Criteria'!L195</f>
        <v>Yes</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4.1">
      <c r="A1353" s="1660"/>
      <c r="B1353" s="1631" t="str">
        <f>'Part VIII Scoring Criteria'!B196</f>
        <v>Fannin County High School</v>
      </c>
      <c r="C1353" s="1631"/>
      <c r="D1353" s="1631"/>
      <c r="E1353" s="1631"/>
      <c r="F1353" s="1631" t="str">
        <f>'Part VIII Scoring Criteria'!F196</f>
        <v>Yes</v>
      </c>
      <c r="G1353" s="1631"/>
      <c r="H1353" s="1631" t="str">
        <f>'Part VIII Scoring Criteria'!H196</f>
        <v>Yes</v>
      </c>
      <c r="I1353" s="1631"/>
      <c r="J1353" s="1631" t="str">
        <f>'Part VIII Scoring Criteria'!J196</f>
        <v>No</v>
      </c>
      <c r="K1353" s="1631"/>
      <c r="L1353" s="1630" t="str">
        <f>'Part VIII Scoring Criteria'!L196</f>
        <v>No</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4.1">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4.1">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4.1">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4.1">
      <c r="A1357" s="1631"/>
      <c r="B1357" s="2409" t="s">
        <v>2284</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4.1">
      <c r="A1358" s="2424" t="str">
        <f>'Part VIII Scoring Criteria'!A201</f>
        <v xml:space="preserve">Fannin County school system. No maps available but letter from administration provided to confirm schools for the development parcel. All assisgned schools score under 2018 BTO, 2019 BTO or Option C. </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1">
      <c r="A1359" s="1631"/>
      <c r="B1359" s="2424" t="s">
        <v>1437</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4.1">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4.1">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4.1">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4.1">
      <c r="A1363" s="2066" t="s">
        <v>1524</v>
      </c>
      <c r="B1363" s="2067" t="s">
        <v>1922</v>
      </c>
      <c r="C1363" s="1631"/>
      <c r="D1363" s="2067"/>
      <c r="E1363" s="2067"/>
      <c r="F1363" s="1631"/>
      <c r="G1363" s="1631"/>
      <c r="H1363" s="1631"/>
      <c r="I1363" s="1631"/>
      <c r="J1363" s="1631"/>
      <c r="K1363" s="2443"/>
      <c r="L1363" s="2411" t="s">
        <v>1754</v>
      </c>
      <c r="M1363" s="2563">
        <v>10</v>
      </c>
      <c r="N1363" s="1645"/>
      <c r="O1363" s="2408">
        <f>'Part VIII Scoring Criteria'!O206</f>
        <v>0</v>
      </c>
      <c r="P1363" s="2408">
        <f>'Part VIII Scoring Criteria'!P206</f>
        <v>0</v>
      </c>
      <c r="Q1363" s="2563" t="s">
        <v>787</v>
      </c>
      <c r="R1363" s="2485" t="s">
        <v>1923</v>
      </c>
      <c r="S1363" s="1630"/>
      <c r="T1363" s="1630"/>
      <c r="U1363" s="1630"/>
      <c r="V1363" s="2481">
        <f>$C$16</f>
        <v>0</v>
      </c>
      <c r="W1363" s="1631"/>
      <c r="X1363" s="1631"/>
      <c r="Y1363" s="1631"/>
      <c r="Z1363" s="1631"/>
      <c r="AA1363" s="1631"/>
      <c r="AB1363" s="1631"/>
      <c r="AC1363" s="1631"/>
      <c r="AD1363" s="1631"/>
      <c r="AE1363" s="1631"/>
      <c r="AF1363" s="1631"/>
    </row>
    <row r="1364" spans="1:32" ht="14.1">
      <c r="A1364" s="2066"/>
      <c r="B1364" s="2067"/>
      <c r="C1364" s="1631"/>
      <c r="D1364" s="2067"/>
      <c r="E1364" s="2067"/>
      <c r="F1364" s="1662" t="s">
        <v>2294</v>
      </c>
      <c r="G1364" s="1631"/>
      <c r="H1364" s="1631"/>
      <c r="I1364" s="1631"/>
      <c r="J1364" s="1631"/>
      <c r="K1364" s="1631"/>
      <c r="L1364" s="2073"/>
      <c r="M1364" s="2563"/>
      <c r="N1364" s="1645"/>
      <c r="O1364" s="1659">
        <f>'Part VIII Scoring Criteria'!O207</f>
        <v>0</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4.1">
      <c r="A1365" s="2563"/>
      <c r="B1365" s="1631" t="s">
        <v>2295</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25" customHeight="1">
      <c r="A1366" s="2565"/>
      <c r="B1366" s="2069"/>
      <c r="C1366" s="1665" t="s">
        <v>1926</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25" customHeight="1">
      <c r="A1367" s="1645"/>
      <c r="B1367" s="2069"/>
      <c r="C1367" s="1631" t="s">
        <v>1928</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1929</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4.1">
      <c r="A1369" s="2563" t="s">
        <v>199</v>
      </c>
      <c r="B1369" s="2415" t="s">
        <v>1930</v>
      </c>
      <c r="C1369" s="1631"/>
      <c r="D1369" s="1631"/>
      <c r="E1369" s="1631"/>
      <c r="F1369" s="1631"/>
      <c r="G1369" s="1631"/>
      <c r="H1369" s="1631"/>
      <c r="I1369" s="1631"/>
      <c r="J1369" s="1631"/>
      <c r="K1369" s="1631"/>
      <c r="L1369" s="2443" t="s">
        <v>1754</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4.1">
      <c r="A1370" s="2565"/>
      <c r="B1370" s="2415" t="s">
        <v>1931</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4.1">
      <c r="A1371" s="2563"/>
      <c r="B1371" s="1660" t="s">
        <v>2296</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4.1">
      <c r="A1372" s="2565"/>
      <c r="B1372" s="2415" t="s">
        <v>1933</v>
      </c>
      <c r="C1372" s="1660"/>
      <c r="D1372" s="1665"/>
      <c r="E1372" s="1665"/>
      <c r="F1372" s="1665"/>
      <c r="G1372" s="1665"/>
      <c r="H1372" s="1665"/>
      <c r="I1372" s="1665"/>
      <c r="J1372" s="1660"/>
      <c r="K1372" s="1645"/>
      <c r="L1372" s="2443" t="s">
        <v>1754</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4.1">
      <c r="A1373" s="1645"/>
      <c r="B1373" s="2417"/>
      <c r="C1373" s="1666" t="s">
        <v>1934</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4.1">
      <c r="A1374" s="2563"/>
      <c r="B1374" s="1660"/>
      <c r="C1374" s="2411"/>
      <c r="D1374" s="1665" t="s">
        <v>1935</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4.1">
      <c r="A1375" s="2563"/>
      <c r="B1375" s="1660"/>
      <c r="C1375" s="2411"/>
      <c r="D1375" s="1665" t="s">
        <v>1936</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4.1">
      <c r="A1376" s="2563"/>
      <c r="B1376" s="2417"/>
      <c r="C1376" s="2411"/>
      <c r="D1376" s="1665" t="s">
        <v>1937</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4.1">
      <c r="A1377" s="1645"/>
      <c r="B1377" s="1660"/>
      <c r="C1377" s="1666" t="s">
        <v>1938</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4.1">
      <c r="A1378" s="1645"/>
      <c r="B1378" s="1660"/>
      <c r="C1378" s="1666" t="s">
        <v>1939</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4.1">
      <c r="A1379" s="2563" t="s">
        <v>211</v>
      </c>
      <c r="B1379" s="1630" t="s">
        <v>1940</v>
      </c>
      <c r="C1379" s="1666"/>
      <c r="D1379" s="1666"/>
      <c r="E1379" s="1666"/>
      <c r="F1379" s="1666"/>
      <c r="G1379" s="1666"/>
      <c r="H1379" s="1666"/>
      <c r="I1379" s="1666"/>
      <c r="J1379" s="1666"/>
      <c r="K1379" s="1666"/>
      <c r="L1379" s="2443" t="s">
        <v>1754</v>
      </c>
      <c r="M1379" s="2563">
        <v>3</v>
      </c>
      <c r="N1379" s="1664"/>
      <c r="O1379" s="1659">
        <f>'Part VIII Scoring Criteria'!O222</f>
        <v>0</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4.1">
      <c r="A1380" s="2563"/>
      <c r="B1380" s="1631" t="s">
        <v>1941</v>
      </c>
      <c r="C1380" s="1666"/>
      <c r="D1380" s="1666"/>
      <c r="E1380" s="1666"/>
      <c r="F1380" s="1666"/>
      <c r="G1380" s="1666"/>
      <c r="H1380" s="1666"/>
      <c r="I1380" s="1666"/>
      <c r="J1380" s="1666"/>
      <c r="K1380" s="1666"/>
      <c r="L1380" s="2443"/>
      <c r="M1380" s="2563"/>
      <c r="N1380" s="1664"/>
      <c r="O1380" s="2456">
        <f>'Part VIII Scoring Criteria'!O223</f>
        <v>0</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4.1">
      <c r="A1381" s="2066"/>
      <c r="B1381" s="2486" t="s">
        <v>214</v>
      </c>
      <c r="C1381" s="1666" t="s">
        <v>1942</v>
      </c>
      <c r="D1381" s="1666"/>
      <c r="E1381" s="1666"/>
      <c r="F1381" s="1666"/>
      <c r="G1381" s="1666"/>
      <c r="H1381" s="1666"/>
      <c r="I1381" s="1660"/>
      <c r="J1381" s="1660"/>
      <c r="K1381" s="1660"/>
      <c r="L1381" s="2443" t="s">
        <v>1754</v>
      </c>
      <c r="M1381" s="1645">
        <v>3</v>
      </c>
      <c r="N1381" s="1664"/>
      <c r="O1381" s="1659">
        <f>'Part VIII Scoring Criteria'!O224</f>
        <v>0</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4.1">
      <c r="A1382" s="1660"/>
      <c r="B1382" s="2417" t="s">
        <v>216</v>
      </c>
      <c r="C1382" s="1660" t="s">
        <v>1943</v>
      </c>
      <c r="D1382" s="1660"/>
      <c r="E1382" s="1660"/>
      <c r="F1382" s="1660"/>
      <c r="G1382" s="1660"/>
      <c r="H1382" s="1660"/>
      <c r="I1382" s="1660"/>
      <c r="J1382" s="1660"/>
      <c r="K1382" s="1660"/>
      <c r="L1382" s="2413" t="str">
        <f>IF(OR($O1382=$M1382,$O1382=0,$O1382=""),"","* * Check Score! * *")</f>
        <v/>
      </c>
      <c r="M1382" s="2564">
        <v>1</v>
      </c>
      <c r="N1382" s="256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4.1">
      <c r="A1383" s="1660"/>
      <c r="B1383" s="2417" t="s">
        <v>219</v>
      </c>
      <c r="C1383" s="1660" t="s">
        <v>1944</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4.1">
      <c r="A1384" s="1660"/>
      <c r="B1384" s="2417" t="s">
        <v>221</v>
      </c>
      <c r="C1384" s="1660" t="s">
        <v>1945</v>
      </c>
      <c r="D1384" s="1660"/>
      <c r="E1384" s="1660"/>
      <c r="F1384" s="1660"/>
      <c r="G1384" s="1660"/>
      <c r="H1384" s="1660"/>
      <c r="I1384" s="1660"/>
      <c r="J1384" s="1660"/>
      <c r="K1384" s="1660"/>
      <c r="L1384" s="2413"/>
      <c r="M1384" s="2564">
        <v>1</v>
      </c>
      <c r="N1384" s="256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4.1">
      <c r="A1385" s="2066"/>
      <c r="B1385" s="2416" t="s">
        <v>222</v>
      </c>
      <c r="C1385" s="1631" t="s">
        <v>1946</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4.1">
      <c r="A1386" s="2563" t="s">
        <v>232</v>
      </c>
      <c r="B1386" s="1630" t="s">
        <v>1947</v>
      </c>
      <c r="C1386" s="1660"/>
      <c r="D1386" s="1631"/>
      <c r="E1386" s="1660"/>
      <c r="F1386" s="2488"/>
      <c r="G1386" s="1660"/>
      <c r="H1386" s="1660"/>
      <c r="I1386" s="1660"/>
      <c r="J1386" s="1660"/>
      <c r="K1386" s="2073"/>
      <c r="L1386" s="2443" t="s">
        <v>1754</v>
      </c>
      <c r="M1386" s="256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4.1">
      <c r="A1387" s="1631"/>
      <c r="B1387" s="2486" t="s">
        <v>214</v>
      </c>
      <c r="C1387" s="1666" t="s">
        <v>1948</v>
      </c>
      <c r="D1387" s="1666"/>
      <c r="E1387" s="1666"/>
      <c r="F1387" s="1666"/>
      <c r="G1387" s="1666"/>
      <c r="H1387" s="1666"/>
      <c r="I1387" s="1666"/>
      <c r="J1387" s="1666"/>
      <c r="K1387" s="1666"/>
      <c r="L1387" s="2443" t="s">
        <v>1754</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4.1">
      <c r="A1388" s="1631"/>
      <c r="B1388" s="2416" t="s">
        <v>222</v>
      </c>
      <c r="C1388" s="1666" t="s">
        <v>1949</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1">
      <c r="A1389" s="1631"/>
      <c r="B1389" s="2409" t="s">
        <v>2284</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4.1">
      <c r="A1390" s="2424" t="str">
        <f>'Part VIII Scoring Criteria'!A233</f>
        <v xml:space="preserve">Site does not qualify for revitilization category. </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1">
      <c r="A1391" s="1631"/>
      <c r="B1391" s="2409" t="s">
        <v>1437</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4.1">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4.1">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4.1">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4.1">
      <c r="A1395" s="2066" t="s">
        <v>1527</v>
      </c>
      <c r="B1395" s="2067" t="s">
        <v>1951</v>
      </c>
      <c r="C1395" s="1631"/>
      <c r="D1395" s="2067"/>
      <c r="E1395" s="2067"/>
      <c r="F1395" s="1662" t="s">
        <v>56</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10</v>
      </c>
      <c r="P1395" s="1659">
        <f>'Part VIII Scoring Criteria'!P238</f>
        <v>0</v>
      </c>
      <c r="Q1395" s="2563" t="s">
        <v>787</v>
      </c>
      <c r="R1395" s="2485" t="s">
        <v>1923</v>
      </c>
      <c r="S1395" s="1630"/>
      <c r="T1395" s="1630"/>
      <c r="U1395" s="1630"/>
      <c r="V1395" s="2481">
        <f>$C$16</f>
        <v>0</v>
      </c>
      <c r="W1395" s="1660"/>
      <c r="X1395" s="1660"/>
      <c r="Y1395" s="1631"/>
      <c r="Z1395" s="1631"/>
      <c r="AA1395" s="1631"/>
      <c r="AB1395" s="1631"/>
      <c r="AC1395" s="1631"/>
      <c r="AD1395" s="1631"/>
      <c r="AE1395" s="1631"/>
      <c r="AF1395" s="1631"/>
    </row>
    <row r="1396" spans="1:32" ht="14.1">
      <c r="A1396" s="2066"/>
      <c r="B1396" s="2067"/>
      <c r="C1396" s="1631"/>
      <c r="D1396" s="2067"/>
      <c r="E1396" s="2067"/>
      <c r="F1396" s="1662" t="s">
        <v>2294</v>
      </c>
      <c r="G1396" s="1631"/>
      <c r="H1396" s="1631"/>
      <c r="I1396" s="1631"/>
      <c r="J1396" s="1631"/>
      <c r="K1396" s="1631"/>
      <c r="L1396" s="2073"/>
      <c r="M1396" s="2563"/>
      <c r="N1396" s="1645"/>
      <c r="O1396" s="1659">
        <f>'Part VIII Scoring Criteria'!O239</f>
        <v>10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4.1">
      <c r="A1397" s="2066"/>
      <c r="B1397" s="1630" t="s">
        <v>1952</v>
      </c>
      <c r="C1397" s="1631"/>
      <c r="D1397" s="2067"/>
      <c r="E1397" s="2067"/>
      <c r="F1397" s="1631"/>
      <c r="G1397" s="1631"/>
      <c r="H1397" s="1631"/>
      <c r="I1397" s="1631"/>
      <c r="J1397" s="2563" t="s">
        <v>1745</v>
      </c>
      <c r="K1397" s="2489" t="s">
        <v>774</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4.1">
      <c r="A1398" s="2066"/>
      <c r="B1398" s="1631"/>
      <c r="C1398" s="1662" t="s">
        <v>1961</v>
      </c>
      <c r="D1398" s="2483"/>
      <c r="E1398" s="2067"/>
      <c r="F1398" s="1631"/>
      <c r="G1398" s="1631"/>
      <c r="H1398" s="1631"/>
      <c r="I1398" s="1631"/>
      <c r="J1398" s="2445">
        <f>'Part VIII Scoring Criteria'!J249</f>
        <v>4</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4.1">
      <c r="A1399" s="2066"/>
      <c r="B1399" s="1631"/>
      <c r="C1399" s="1662" t="s">
        <v>2297</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4.1">
      <c r="A1400" s="2066"/>
      <c r="B1400" s="1631"/>
      <c r="C1400" s="1662" t="s">
        <v>1963</v>
      </c>
      <c r="D1400" s="2483"/>
      <c r="E1400" s="2067"/>
      <c r="F1400" s="1631"/>
      <c r="G1400" s="1631"/>
      <c r="H1400" s="1631"/>
      <c r="I1400" s="1631"/>
      <c r="J1400" s="2489">
        <f>'Part VIII Scoring Criteria'!J251</f>
        <v>10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4.1">
      <c r="A1401" s="2066"/>
      <c r="B1401" s="1630" t="s">
        <v>1964</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1965</v>
      </c>
      <c r="C1402" s="1660"/>
      <c r="D1402" s="2434"/>
      <c r="E1402" s="2434" t="s">
        <v>1966</v>
      </c>
      <c r="F1402" s="2434"/>
      <c r="G1402" s="2434"/>
      <c r="H1402" s="2491" t="s">
        <v>1967</v>
      </c>
      <c r="I1402" s="2434" t="s">
        <v>2298</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1">
      <c r="A1403" s="2066"/>
      <c r="B1403" s="1631" t="s">
        <v>1969</v>
      </c>
      <c r="C1403" s="1660"/>
      <c r="D1403" s="2434"/>
      <c r="E1403" s="2492" t="str">
        <f>'Part VIII Scoring Criteria'!E254</f>
        <v>Above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1">
      <c r="A1404" s="2066"/>
      <c r="B1404" s="1631" t="s">
        <v>1973</v>
      </c>
      <c r="C1404" s="1660"/>
      <c r="D1404" s="2434"/>
      <c r="E1404" s="2492" t="str">
        <f>'Part VIII Scoring Criteria'!E255</f>
        <v>Above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1">
      <c r="A1405" s="2066"/>
      <c r="B1405" s="1631" t="s">
        <v>1974</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4.1">
      <c r="A1406" s="2066"/>
      <c r="B1406" s="1631" t="s">
        <v>1975</v>
      </c>
      <c r="C1406" s="2067"/>
      <c r="D1406" s="2067"/>
      <c r="E1406" s="2492" t="str">
        <f>'Part VIII Scoring Criteria'!E257</f>
        <v>Above 50th</v>
      </c>
      <c r="F1406" s="2492"/>
      <c r="G1406" s="2493"/>
      <c r="H1406" s="1645" t="str">
        <f>'Part VIII Scoring Criteria'!H257</f>
        <v>2020 and 2021</v>
      </c>
      <c r="I1406" s="2492" t="str">
        <f>'Part VIII Scoring Criteria'!I257</f>
        <v>Within Census Tract</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4.1">
      <c r="A1407" s="2066"/>
      <c r="B1407" s="1631" t="s">
        <v>1977</v>
      </c>
      <c r="C1407" s="2067"/>
      <c r="D1407" s="2067"/>
      <c r="E1407" s="2492" t="str">
        <f>'Part VIII Scoring Criteria'!E258</f>
        <v>At or below 50th</v>
      </c>
      <c r="F1407" s="2492"/>
      <c r="G1407" s="2493"/>
      <c r="H1407" s="1645" t="str">
        <f>'Part VIII Scoring Criteria'!H258</f>
        <v>2020 and 2021</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1">
      <c r="A1408" s="1631"/>
      <c r="B1408" s="2409" t="s">
        <v>2284</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4.1">
      <c r="A1409" s="2424" t="str">
        <f>'Part VIII Scoring Criteria'!A260</f>
        <v xml:space="preserve">Census tract 13111050400, scores above 50th percentaile in Environmental Health, Transit Access, Jobs Proximity, and Above Poverty Level. Applicant has included PDF of each Stable Communities Indicator for our census tract. Census tract scores in both data sets 2020 and 2021 for Above Poverty Level indicator. </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1">
      <c r="A1410" s="1631"/>
      <c r="B1410" s="2424" t="s">
        <v>1437</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4.1">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4.1">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4.1">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4.1">
      <c r="A1414" s="2066" t="s">
        <v>1535</v>
      </c>
      <c r="B1414" s="2067" t="s">
        <v>1980</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787</v>
      </c>
      <c r="R1414" s="2485" t="s">
        <v>1923</v>
      </c>
      <c r="S1414" s="1630"/>
      <c r="T1414" s="1630"/>
      <c r="U1414" s="1630"/>
      <c r="V1414" s="2481">
        <f>$C$16</f>
        <v>0</v>
      </c>
      <c r="W1414" s="1631"/>
      <c r="X1414" s="1631"/>
      <c r="Y1414" s="1631"/>
      <c r="Z1414" s="1631"/>
      <c r="AA1414" s="1631"/>
      <c r="AB1414" s="1631"/>
      <c r="AC1414" s="1631"/>
      <c r="AD1414" s="1631"/>
      <c r="AE1414" s="1631"/>
      <c r="AF1414" s="1631"/>
    </row>
    <row r="1415" spans="1:32" ht="14.1">
      <c r="A1415" s="2563" t="s">
        <v>199</v>
      </c>
      <c r="B1415" s="2429" t="s">
        <v>1981</v>
      </c>
      <c r="C1415" s="1660"/>
      <c r="D1415" s="1666"/>
      <c r="E1415" s="1666"/>
      <c r="F1415" s="1666"/>
      <c r="G1415" s="1666"/>
      <c r="H1415" s="1666"/>
      <c r="I1415" s="1660"/>
      <c r="J1415" s="1660"/>
      <c r="K1415" s="1660"/>
      <c r="L1415" s="1666"/>
      <c r="M1415" s="1630" t="str">
        <f>IF(AND(O1415="Yes",O1416="Yes"),"Only one category can be selected!","")</f>
        <v/>
      </c>
      <c r="N1415" s="2069"/>
      <c r="O1415" s="2563" t="str">
        <f>'Part VIII Scoring Criteria'!O266</f>
        <v>N/a</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4.1">
      <c r="A1416" s="2563" t="s">
        <v>211</v>
      </c>
      <c r="B1416" s="2429" t="s">
        <v>1982</v>
      </c>
      <c r="C1416" s="1660"/>
      <c r="D1416" s="1666"/>
      <c r="E1416" s="1660"/>
      <c r="F1416" s="1660"/>
      <c r="G1416" s="1660"/>
      <c r="H1416" s="1660"/>
      <c r="I1416" s="1660"/>
      <c r="J1416" s="1660"/>
      <c r="K1416" s="1660"/>
      <c r="L1416" s="1666"/>
      <c r="M1416" s="1630"/>
      <c r="N1416" s="2069"/>
      <c r="O1416" s="2563" t="str">
        <f>'Part VIII Scoring Criteria'!O267</f>
        <v>N/a</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4.1">
      <c r="A1417" s="1631"/>
      <c r="B1417" s="2409" t="s">
        <v>2284</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4.1">
      <c r="A1418" s="2424" t="str">
        <f>'Part VIII Scoring Criteria'!A269</f>
        <v xml:space="preserve">Not claiming points in this section. </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1">
      <c r="A1419" s="1631"/>
      <c r="B1419" s="2424" t="s">
        <v>1437</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4.1">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4.1">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4.1">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4.1">
      <c r="A1423" s="2066" t="s">
        <v>1556</v>
      </c>
      <c r="B1423" s="2067" t="s">
        <v>1984</v>
      </c>
      <c r="C1423" s="1660"/>
      <c r="D1423" s="1660"/>
      <c r="E1423" s="2415" t="str">
        <f>IF(AND(O1423&gt;0,NOT($F$12="New Affordability"),NOT($O$12="9%")), "Ineligible, not New Affordability and 9%!","")</f>
        <v/>
      </c>
      <c r="F1423" s="1660"/>
      <c r="G1423" s="2427">
        <f>$O$12</f>
        <v>0</v>
      </c>
      <c r="H1423" s="2442">
        <f>$J$12</f>
        <v>0</v>
      </c>
      <c r="I1423" s="1660"/>
      <c r="J1423" s="1660"/>
      <c r="K1423" s="1660"/>
      <c r="L1423" s="2411" t="s">
        <v>1754</v>
      </c>
      <c r="M1423" s="2563">
        <v>4</v>
      </c>
      <c r="N1423" s="1645"/>
      <c r="O1423" s="1659">
        <f>'Part VIII Scoring Criteria'!O274</f>
        <v>0</v>
      </c>
      <c r="P1423" s="1659">
        <f>'Part VIII Scoring Criteria'!P274</f>
        <v>0</v>
      </c>
      <c r="Q1423" s="2563" t="s">
        <v>787</v>
      </c>
      <c r="R1423" s="2415"/>
      <c r="S1423" s="1630"/>
      <c r="T1423" s="1630"/>
      <c r="U1423" s="1630"/>
      <c r="V1423" s="1630"/>
      <c r="W1423" s="1667"/>
      <c r="X1423" s="1667"/>
      <c r="Y1423" s="1660"/>
      <c r="Z1423" s="1660"/>
      <c r="AA1423" s="1660"/>
      <c r="AB1423" s="1660"/>
      <c r="AC1423" s="1660"/>
      <c r="AD1423" s="1660"/>
      <c r="AE1423" s="1660"/>
      <c r="AF1423" s="1660"/>
    </row>
    <row r="1424" spans="1:32" ht="14.1">
      <c r="A1424" s="2495"/>
      <c r="B1424" s="1665" t="s">
        <v>1985</v>
      </c>
      <c r="C1424" s="1665"/>
      <c r="D1424" s="1665"/>
      <c r="E1424" s="1665"/>
      <c r="F1424" s="1665"/>
      <c r="G1424" s="1660"/>
      <c r="H1424" s="1660"/>
      <c r="I1424" s="1660"/>
      <c r="J1424" s="1660"/>
      <c r="K1424" s="1660"/>
      <c r="L1424" s="1660"/>
      <c r="M1424" s="1660"/>
      <c r="N1424" s="2421"/>
      <c r="O1424" s="2420" t="str">
        <f>'Part VIII Scoring Criteria'!O275</f>
        <v>N/a</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25" customHeight="1">
      <c r="A1425" s="2495"/>
      <c r="B1425" s="1665"/>
      <c r="C1425" s="1665"/>
      <c r="D1425" s="1665"/>
      <c r="E1425" s="1665"/>
      <c r="F1425" s="1665"/>
      <c r="G1425" s="2564" t="s">
        <v>1986</v>
      </c>
      <c r="H1425" s="1660" t="s">
        <v>54</v>
      </c>
      <c r="I1425" s="1660"/>
      <c r="J1425" s="1660"/>
      <c r="K1425" s="1660" t="s">
        <v>1987</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4.1">
      <c r="A1426" s="2495"/>
      <c r="B1426" s="2495"/>
      <c r="C1426" s="1660"/>
      <c r="D1426" s="1661" t="s">
        <v>1988</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4.1">
      <c r="A1427" s="2432"/>
      <c r="B1427" s="2495"/>
      <c r="C1427" s="1631"/>
      <c r="D1427" s="1662" t="s">
        <v>1989</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4.1">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1">
      <c r="A1429" s="1631"/>
      <c r="B1429" s="2409" t="s">
        <v>2284</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4.1">
      <c r="A1430" s="2424" t="str">
        <f>'Part VIII Scoring Criteria'!A281</f>
        <v xml:space="preserve">Applicant plans to explore a potential second phase to this development. . </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1">
      <c r="A1431" s="1660"/>
      <c r="B1431" s="2424" t="s">
        <v>1437</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4.1">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4.1">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4.1">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4.1">
      <c r="A1435" s="2066" t="s">
        <v>1566</v>
      </c>
      <c r="B1435" s="2067" t="s">
        <v>1991</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1754</v>
      </c>
      <c r="M1435" s="2563">
        <v>5</v>
      </c>
      <c r="N1435" s="1645"/>
      <c r="O1435" s="1659">
        <f>'Part VIII Scoring Criteria'!O286</f>
        <v>3</v>
      </c>
      <c r="P1435" s="1659">
        <f>'Part VIII Scoring Criteria'!P286</f>
        <v>0</v>
      </c>
      <c r="Q1435" s="2563" t="s">
        <v>787</v>
      </c>
      <c r="R1435" s="2415"/>
      <c r="S1435" s="1630"/>
      <c r="T1435" s="1630"/>
      <c r="U1435" s="1630"/>
      <c r="V1435" s="1630"/>
      <c r="W1435" s="1667"/>
      <c r="X1435" s="1667"/>
      <c r="Y1435" s="1660"/>
      <c r="Z1435" s="1660"/>
      <c r="AA1435" s="1660"/>
      <c r="AB1435" s="1660"/>
      <c r="AC1435" s="1660"/>
      <c r="AD1435" s="1660"/>
      <c r="AE1435" s="1660"/>
      <c r="AF1435" s="1660"/>
    </row>
    <row r="1436" spans="1:32" ht="14.1">
      <c r="A1436" s="1660"/>
      <c r="B1436" s="1660" t="s">
        <v>1992</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4.1">
      <c r="A1437" s="2563" t="s">
        <v>199</v>
      </c>
      <c r="B1437" s="1630" t="s">
        <v>1993</v>
      </c>
      <c r="C1437" s="1631"/>
      <c r="D1437" s="1631"/>
      <c r="E1437" s="1631"/>
      <c r="F1437" s="1631"/>
      <c r="G1437" s="1631"/>
      <c r="H1437" s="1631"/>
      <c r="I1437" s="1631"/>
      <c r="J1437" s="1631"/>
      <c r="K1437" s="1631"/>
      <c r="L1437" s="2443" t="s">
        <v>1754</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4.1">
      <c r="A1438" s="1660"/>
      <c r="B1438" s="1660"/>
      <c r="C1438" s="1660" t="s">
        <v>1994</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4.1">
      <c r="A1439" s="1660"/>
      <c r="B1439" s="1660"/>
      <c r="C1439" s="1660" t="s">
        <v>1995</v>
      </c>
      <c r="D1439" s="1660"/>
      <c r="E1439" s="1660"/>
      <c r="F1439" s="1660"/>
      <c r="G1439" s="1660"/>
      <c r="H1439" s="1660"/>
      <c r="I1439" s="1660"/>
      <c r="J1439" s="1660"/>
      <c r="K1439" s="1660"/>
      <c r="L1439" s="1660"/>
      <c r="M1439" s="1660"/>
      <c r="N1439" s="2564"/>
      <c r="O1439" s="1659" t="str">
        <f>'Part VIII Scoring Criteria'!O290</f>
        <v>N/a</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4.1">
      <c r="A1440" s="2563" t="s">
        <v>211</v>
      </c>
      <c r="B1440" s="1630" t="s">
        <v>1996</v>
      </c>
      <c r="C1440" s="1631"/>
      <c r="D1440" s="1631"/>
      <c r="E1440" s="1631"/>
      <c r="F1440" s="1631"/>
      <c r="G1440" s="1631"/>
      <c r="H1440" s="1631"/>
      <c r="I1440" s="1631"/>
      <c r="J1440" s="1631"/>
      <c r="K1440" s="1631"/>
      <c r="L1440" s="2443" t="s">
        <v>1754</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4.1">
      <c r="A1441" s="1660"/>
      <c r="B1441" s="1660"/>
      <c r="C1441" s="1660" t="s">
        <v>1997</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4.1">
      <c r="A1442" s="1660"/>
      <c r="B1442" s="1660"/>
      <c r="C1442" s="1660" t="s">
        <v>1998</v>
      </c>
      <c r="D1442" s="1660"/>
      <c r="E1442" s="1660"/>
      <c r="F1442" s="1660"/>
      <c r="G1442" s="1660"/>
      <c r="H1442" s="1660"/>
      <c r="I1442" s="1660"/>
      <c r="J1442" s="1660"/>
      <c r="K1442" s="1660"/>
      <c r="L1442" s="1660"/>
      <c r="M1442" s="1660"/>
      <c r="N1442" s="2564"/>
      <c r="O1442" s="1659" t="str">
        <f>'Part VIII Scoring Criteria'!O293</f>
        <v>N/a</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4.1">
      <c r="A1443" s="2563" t="s">
        <v>232</v>
      </c>
      <c r="B1443" s="1630" t="s">
        <v>1999</v>
      </c>
      <c r="C1443" s="1660"/>
      <c r="D1443" s="1660"/>
      <c r="E1443" s="1660"/>
      <c r="F1443" s="1660"/>
      <c r="G1443" s="1662"/>
      <c r="H1443" s="1660"/>
      <c r="I1443" s="2412"/>
      <c r="J1443" s="1660"/>
      <c r="K1443" s="1660"/>
      <c r="L1443" s="2443" t="s">
        <v>1754</v>
      </c>
      <c r="M1443" s="1645">
        <v>3</v>
      </c>
      <c r="N1443" s="2069"/>
      <c r="O1443" s="1659">
        <f>'Part VIII Scoring Criteria'!O294</f>
        <v>3</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4.1">
      <c r="A1444" s="1660"/>
      <c r="B1444" s="1660"/>
      <c r="C1444" s="1660" t="s">
        <v>2000</v>
      </c>
      <c r="D1444" s="1660"/>
      <c r="E1444" s="1660"/>
      <c r="F1444" s="1660"/>
      <c r="G1444" s="1660"/>
      <c r="H1444" s="1660"/>
      <c r="I1444" s="1660"/>
      <c r="J1444" s="1660"/>
      <c r="K1444" s="1660"/>
      <c r="L1444" s="1660"/>
      <c r="M1444" s="1660"/>
      <c r="N1444" s="2564"/>
      <c r="O1444" s="1659">
        <f>'Part VIII Scoring Criteria'!O295</f>
        <v>2.3600000000000001E-3</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4.1">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4.1">
      <c r="A1446" s="1631"/>
      <c r="B1446" s="2409" t="s">
        <v>2284</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4.1">
      <c r="A1447" s="2424" t="str">
        <f>'Part VIII Scoring Criteria'!A298</f>
        <v xml:space="preserve">Fannin County has 0.238% (2021) or 0.236% (2022) LIHTC units as percentage of population in the past 15 years (2 points for 0.15 to 0.25%) and 0% LIHTC units as percentage of population in the past 5 years (1 point for under 0.15%) for a total of 3 points.  </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1">
      <c r="A1448" s="1660"/>
      <c r="B1448" s="2424" t="s">
        <v>1437</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4.1">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4.1">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4.1">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4.1">
      <c r="A1452" s="2066" t="s">
        <v>1577</v>
      </c>
      <c r="B1452" s="2067" t="s">
        <v>2002</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1754</v>
      </c>
      <c r="M1452" s="2563">
        <v>10</v>
      </c>
      <c r="N1452" s="1645"/>
      <c r="O1452" s="1659">
        <f>'Part VIII Scoring Criteria'!O303</f>
        <v>0</v>
      </c>
      <c r="P1452" s="1659">
        <f>'Part VIII Scoring Criteria'!P303</f>
        <v>0</v>
      </c>
      <c r="Q1452" s="2563" t="s">
        <v>787</v>
      </c>
      <c r="R1452" s="2485" t="s">
        <v>1923</v>
      </c>
      <c r="S1452" s="1630"/>
      <c r="T1452" s="1630"/>
      <c r="U1452" s="1630"/>
      <c r="V1452" s="2481">
        <f>$C$16</f>
        <v>0</v>
      </c>
      <c r="W1452" s="1631"/>
      <c r="X1452" s="1631"/>
      <c r="Y1452" s="1631"/>
      <c r="Z1452" s="1631"/>
      <c r="AA1452" s="1631"/>
      <c r="AB1452" s="1631"/>
      <c r="AC1452" s="1631"/>
      <c r="AD1452" s="1631"/>
      <c r="AE1452" s="1631"/>
      <c r="AF1452" s="1631"/>
    </row>
    <row r="1453" spans="1:32" ht="14.1">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4.1">
      <c r="A1454" s="2066"/>
      <c r="B1454" s="1631"/>
      <c r="C1454" s="1631" t="s">
        <v>2003</v>
      </c>
      <c r="D1454" s="2067"/>
      <c r="E1454" s="2067"/>
      <c r="F1454" s="1631"/>
      <c r="G1454" s="1631"/>
      <c r="H1454" s="1631"/>
      <c r="I1454" s="1631"/>
      <c r="J1454" s="2563" t="s">
        <v>1745</v>
      </c>
      <c r="K1454" s="2563" t="s">
        <v>774</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4.1">
      <c r="A1455" s="2066"/>
      <c r="B1455" s="2067"/>
      <c r="C1455" s="1631"/>
      <c r="D1455" s="1631" t="s">
        <v>2004</v>
      </c>
      <c r="E1455" s="2067"/>
      <c r="F1455" s="1631"/>
      <c r="G1455" s="1631"/>
      <c r="H1455" s="1631"/>
      <c r="I1455" s="1631"/>
      <c r="J1455" s="2498">
        <f>'Part VIII Scoring Criteria'!J306</f>
        <v>0</v>
      </c>
      <c r="K1455" s="2498">
        <f>'Part VIII Scoring Criteria'!K306</f>
        <v>0</v>
      </c>
      <c r="L1455" s="2073"/>
      <c r="M1455" s="1631" t="str">
        <f>'Part VIII Scoring Criteria'!M306</f>
        <v>Rural</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4.1">
      <c r="A1456" s="2066"/>
      <c r="B1456" s="2067"/>
      <c r="C1456" s="1631"/>
      <c r="D1456" s="1631" t="s">
        <v>1750</v>
      </c>
      <c r="E1456" s="2067"/>
      <c r="F1456" s="1631"/>
      <c r="G1456" s="1631"/>
      <c r="H1456" s="1631"/>
      <c r="I1456" s="1631"/>
      <c r="J1456" s="2407">
        <f>'Part VIII Scoring Criteria'!J307</f>
        <v>10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4.1">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4.1">
      <c r="A1458" s="2563" t="s">
        <v>199</v>
      </c>
      <c r="B1458" s="2429" t="s">
        <v>2005</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4.1">
      <c r="A1459" s="2563" t="s">
        <v>211</v>
      </c>
      <c r="B1459" s="2429" t="s">
        <v>2006</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63">
        <v>5</v>
      </c>
      <c r="N1459" s="2069"/>
      <c r="O1459" s="1659" t="e">
        <f>'Part VIII Scoring Criteria'!O310</f>
        <v>#VALUE!</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4.1">
      <c r="A1460" s="1631"/>
      <c r="B1460" s="2409" t="s">
        <v>2284</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4.1">
      <c r="A1461" s="2424" t="str">
        <f>'Part VIII Scoring Criteria'!A312</f>
        <v xml:space="preserve">Not claiming points in this section. </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1">
      <c r="A1462" s="1631"/>
      <c r="B1462" s="2424" t="s">
        <v>1437</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4.1">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4.1">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4.1">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4.1">
      <c r="A1466" s="2066" t="s">
        <v>1590</v>
      </c>
      <c r="B1466" s="2067" t="s">
        <v>2007</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1</v>
      </c>
      <c r="P1466" s="2075"/>
      <c r="Q1466" s="2563" t="s">
        <v>787</v>
      </c>
      <c r="R1466" s="1630"/>
      <c r="S1466" s="1630"/>
      <c r="T1466" s="1630"/>
      <c r="U1466" s="1630"/>
      <c r="V1466" s="1630"/>
      <c r="W1466" s="1631"/>
      <c r="X1466" s="1631"/>
      <c r="Y1466" s="1631"/>
      <c r="Z1466" s="1631"/>
      <c r="AA1466" s="1631"/>
      <c r="AB1466" s="1631"/>
      <c r="AC1466" s="1631"/>
      <c r="AD1466" s="1631"/>
      <c r="AE1466" s="1631"/>
      <c r="AF1466" s="1631"/>
    </row>
    <row r="1467" spans="1:32" ht="14.1">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25" customHeight="1">
      <c r="A1468" s="2066"/>
      <c r="B1468" s="2067"/>
      <c r="C1468" s="1631" t="s">
        <v>2008</v>
      </c>
      <c r="D1468" s="2067"/>
      <c r="E1468" s="2067"/>
      <c r="F1468" s="1631"/>
      <c r="G1468" s="1631"/>
      <c r="H1468" s="1631"/>
      <c r="I1468" s="1631"/>
      <c r="J1468" s="1631"/>
      <c r="K1468" s="1631"/>
      <c r="L1468" s="1631" t="s">
        <v>2009</v>
      </c>
      <c r="M1468" s="1631"/>
      <c r="N1468" s="1631"/>
      <c r="O1468" s="1631" t="s">
        <v>2010</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4.1">
      <c r="A1469" s="2066"/>
      <c r="B1469" s="1631"/>
      <c r="C1469" s="1631" t="s">
        <v>2011</v>
      </c>
      <c r="D1469" s="2067"/>
      <c r="E1469" s="2067"/>
      <c r="F1469" s="1631" t="s">
        <v>249</v>
      </c>
      <c r="G1469" s="1631"/>
      <c r="H1469" s="1631"/>
      <c r="I1469" s="1631" t="s">
        <v>58</v>
      </c>
      <c r="J1469" s="1631"/>
      <c r="K1469" s="1645" t="s">
        <v>2012</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4.1">
      <c r="A1470" s="2066"/>
      <c r="B1470" s="2486" t="s">
        <v>214</v>
      </c>
      <c r="C1470" s="2500" t="str">
        <f>'Part VIII Scoring Criteria'!C321</f>
        <v>Harrah’s Cherokee Valley River Casino &amp; Hotel expansion</v>
      </c>
      <c r="D1470" s="2500"/>
      <c r="E1470" s="2500"/>
      <c r="F1470" s="2500" t="str">
        <f>'Part VIII Scoring Criteria'!F321</f>
        <v>777 Casino Pkwy</v>
      </c>
      <c r="G1470" s="2500"/>
      <c r="H1470" s="2500"/>
      <c r="I1470" s="2500" t="str">
        <f>'Part VIII Scoring Criteria'!I321</f>
        <v>Murphy NC</v>
      </c>
      <c r="J1470" s="2500"/>
      <c r="K1470" s="2501">
        <f>'Part VIII Scoring Criteria'!K321</f>
        <v>28906</v>
      </c>
      <c r="L1470" s="2500">
        <f>'Part VIII Scoring Criteria'!L321</f>
        <v>29.9</v>
      </c>
      <c r="M1470" s="2500"/>
      <c r="N1470" s="2483"/>
      <c r="O1470" s="2483">
        <f>'Part VIII Scoring Criteria'!O321</f>
        <v>100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4.1">
      <c r="A1471" s="2066"/>
      <c r="B1471" s="2416" t="s">
        <v>222</v>
      </c>
      <c r="C1471" s="2500" t="str">
        <f>'Part VIII Scoring Criteria'!C322</f>
        <v>Fannin County: Project 2026</v>
      </c>
      <c r="D1471" s="2500"/>
      <c r="E1471" s="2500"/>
      <c r="F1471" s="2500" t="str">
        <f>'Part VIII Scoring Criteria'!F322</f>
        <v>TBD</v>
      </c>
      <c r="G1471" s="2500"/>
      <c r="H1471" s="2500"/>
      <c r="I1471" s="2500" t="str">
        <f>'Part VIII Scoring Criteria'!I322</f>
        <v>Blue Ridge GA</v>
      </c>
      <c r="J1471" s="2500"/>
      <c r="K1471" s="2501">
        <f>'Part VIII Scoring Criteria'!K322</f>
        <v>30513</v>
      </c>
      <c r="L1471" s="2500" t="str">
        <f>'Part VIII Scoring Criteria'!L322</f>
        <v>under 30</v>
      </c>
      <c r="M1471" s="2500"/>
      <c r="N1471" s="2483"/>
      <c r="O1471" s="2483">
        <f>'Part VIII Scoring Criteria'!O322</f>
        <v>400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4.1">
      <c r="A1472" s="2066"/>
      <c r="B1472" s="2416" t="s">
        <v>226</v>
      </c>
      <c r="C1472" s="2500" t="str">
        <f>'Part VIII Scoring Criteria'!C323</f>
        <v>Advanced Digital Cable</v>
      </c>
      <c r="D1472" s="2500"/>
      <c r="E1472" s="2500"/>
      <c r="F1472" s="2500" t="str">
        <f>'Part VIII Scoring Criteria'!F323</f>
        <v>326 S River Rd</v>
      </c>
      <c r="G1472" s="2500"/>
      <c r="H1472" s="2500"/>
      <c r="I1472" s="2500" t="str">
        <f>'Part VIII Scoring Criteria'!I323</f>
        <v>Blairsville GA</v>
      </c>
      <c r="J1472" s="2500"/>
      <c r="K1472" s="2501">
        <f>'Part VIII Scoring Criteria'!K323</f>
        <v>30512</v>
      </c>
      <c r="L1472" s="2500">
        <f>'Part VIII Scoring Criteria'!L323</f>
        <v>23.5</v>
      </c>
      <c r="M1472" s="2500"/>
      <c r="N1472" s="2483"/>
      <c r="O1472" s="2483">
        <f>'Part VIII Scoring Criteria'!O323</f>
        <v>40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4.1">
      <c r="A1473" s="2066"/>
      <c r="B1473" s="2416" t="s">
        <v>266</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4.1">
      <c r="A1474" s="1631"/>
      <c r="B1474" s="2409" t="s">
        <v>2284</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4.1">
      <c r="A1475" s="2424" t="str">
        <f>'Part VIII Scoring Criteria'!A326</f>
        <v xml:space="preserve">The Harrah's Cherokee Casino parcel boundary at 35.11655339960503, -83.99397907657875,  is under 30 miles from our development site entrance.  Currently the casino and hotel are undergoing a $275M expansion expected to be complete in 2024. The project includes a 25,000-square-foot gaming floor expansion and a new 296-room hotel tower. Fannin County has provided a letter explaining the Project 2026 which is currently in process. The project will be located in Fannin County and the entirity of the county will fall within 30 miles driving distance of our development site entrance. ADC is expanding again in Blairsville GA.  </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1">
      <c r="A1476" s="1631"/>
      <c r="B1476" s="2424" t="s">
        <v>1437</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4.1">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4.1">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4.1">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4.1">
      <c r="A1480" s="2066" t="s">
        <v>1595</v>
      </c>
      <c r="B1480" s="2449" t="s">
        <v>2023</v>
      </c>
      <c r="C1480" s="1660"/>
      <c r="D1480" s="1660"/>
      <c r="E1480" s="1660"/>
      <c r="F1480" s="1660"/>
      <c r="G1480" s="1660"/>
      <c r="H1480" s="1660"/>
      <c r="I1480" s="1660"/>
      <c r="J1480" s="1660"/>
      <c r="K1480" s="1660"/>
      <c r="L1480" s="1660"/>
      <c r="M1480" s="2563">
        <v>1</v>
      </c>
      <c r="N1480" s="2564"/>
      <c r="O1480" s="1659">
        <f>'Part VIII Scoring Criteria'!O331</f>
        <v>1</v>
      </c>
      <c r="P1480" s="1659">
        <f>'Part VIII Scoring Criteria'!P331</f>
        <v>0</v>
      </c>
      <c r="Q1480" s="2563" t="s">
        <v>787</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4.1">
      <c r="A1481" s="2563" t="s">
        <v>199</v>
      </c>
      <c r="B1481" s="1667" t="s">
        <v>2024</v>
      </c>
      <c r="C1481" s="1660"/>
      <c r="D1481" s="1660"/>
      <c r="E1481" s="1660"/>
      <c r="F1481" s="1660"/>
      <c r="G1481" s="2445" t="s">
        <v>2025</v>
      </c>
      <c r="H1481" s="2502">
        <f>IF('Part V-Revenues &amp; Expenses'!$P$67=0,0,'Part V-Revenues &amp; Expenses'!$P$64/'Part V-Revenues &amp; Expenses'!$P$67)</f>
        <v>0.1</v>
      </c>
      <c r="I1481" s="1660"/>
      <c r="J1481" s="1660"/>
      <c r="K1481" s="1660"/>
      <c r="L1481" s="2413" t="str">
        <f t="shared" ref="L1481:L1482" si="431">IF(OR($O1481=$M1481,$O1481=0,$O1481=""),"","* * Check Score! * *")</f>
        <v/>
      </c>
      <c r="M1481" s="1645">
        <v>1</v>
      </c>
      <c r="N1481" s="2069"/>
      <c r="O1481" s="1659">
        <f>'Part VIII Scoring Criteria'!O332</f>
        <v>1</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4.1">
      <c r="A1482" s="2563" t="s">
        <v>211</v>
      </c>
      <c r="B1482" s="1667" t="s">
        <v>1870</v>
      </c>
      <c r="C1482" s="1660"/>
      <c r="D1482" s="1660"/>
      <c r="E1482" s="1660"/>
      <c r="F1482" s="1660"/>
      <c r="G1482" s="2503" t="str">
        <f>'Part V-Revenues &amp; Expenses'!$O$53</f>
        <v>40% of Units at 60% of AMI</v>
      </c>
      <c r="H1482" s="2503"/>
      <c r="I1482" s="1660"/>
      <c r="J1482" s="1660"/>
      <c r="K1482" s="1660"/>
      <c r="L1482" s="2413" t="str">
        <f t="shared" si="431"/>
        <v/>
      </c>
      <c r="M1482" s="256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4.1">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4.1">
      <c r="A1484" s="1631"/>
      <c r="B1484" s="2424" t="s">
        <v>1437</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4.1">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4.1">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4.1">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4.1">
      <c r="A1488" s="2066" t="s">
        <v>1601</v>
      </c>
      <c r="B1488" s="2067" t="s">
        <v>2026</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787</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1">
      <c r="A1489" s="2449"/>
      <c r="B1489" s="1665"/>
      <c r="C1489" s="1665"/>
      <c r="D1489" s="1665"/>
      <c r="E1489" s="2470" t="s">
        <v>2027</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4.1">
      <c r="A1490" s="2432" t="s">
        <v>199</v>
      </c>
      <c r="B1490" s="1630" t="s">
        <v>2029</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25"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4.1">
      <c r="A1492" s="2495" t="s">
        <v>211</v>
      </c>
      <c r="B1492" s="2403" t="s">
        <v>2031</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1">
      <c r="A1493" s="1631"/>
      <c r="B1493" s="2409" t="s">
        <v>2284</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4.1">
      <c r="A1494" s="2424" t="str">
        <f>'Part VIII Scoring Criteria'!A345</f>
        <v xml:space="preserve">Not claiming points in this section. </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1">
      <c r="A1495" s="1660"/>
      <c r="B1495" s="2424" t="s">
        <v>1437</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4.1">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4.1">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4.1">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1">
      <c r="A1499" s="2066" t="s">
        <v>1608</v>
      </c>
      <c r="B1499" s="2067" t="s">
        <v>2032</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787</v>
      </c>
      <c r="R1499" s="1630"/>
      <c r="S1499" s="1630"/>
      <c r="T1499" s="1630"/>
      <c r="U1499" s="1630"/>
      <c r="V1499" s="1630"/>
      <c r="W1499" s="1631"/>
      <c r="X1499" s="1631"/>
      <c r="Y1499" s="1631"/>
      <c r="Z1499" s="1631"/>
      <c r="AA1499" s="1631"/>
      <c r="AB1499" s="1631"/>
      <c r="AC1499" s="1631"/>
      <c r="AD1499" s="1631"/>
      <c r="AE1499" s="1631"/>
      <c r="AF1499" s="1631"/>
    </row>
    <row r="1500" spans="1:32" ht="14.1">
      <c r="A1500" s="2563" t="s">
        <v>199</v>
      </c>
      <c r="B1500" s="2429" t="s">
        <v>2033</v>
      </c>
      <c r="C1500" s="1660"/>
      <c r="D1500" s="1666"/>
      <c r="E1500" s="2444" t="s">
        <v>2034</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4.1">
      <c r="A1501" s="2563" t="s">
        <v>211</v>
      </c>
      <c r="B1501" s="2429" t="s">
        <v>2035</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1">
      <c r="A1502" s="1631"/>
      <c r="B1502" s="2409" t="s">
        <v>2284</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4.1">
      <c r="A1503" s="2424" t="str">
        <f>'Part VIII Scoring Criteria'!A354</f>
        <v xml:space="preserve">Applicant will engage a 3rd party contractor to provide required services. </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1">
      <c r="A1504" s="1631"/>
      <c r="B1504" s="2424" t="s">
        <v>1437</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4.1">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4.1">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4.1">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1613</v>
      </c>
      <c r="B1508" s="2067" t="s">
        <v>2037</v>
      </c>
      <c r="C1508" s="1660"/>
      <c r="D1508" s="1667"/>
      <c r="E1508" s="1667"/>
      <c r="F1508" s="1660"/>
      <c r="G1508" s="1631"/>
      <c r="H1508" s="1660"/>
      <c r="I1508" s="1660"/>
      <c r="J1508" s="1660"/>
      <c r="K1508" s="1660"/>
      <c r="L1508" s="2469" t="str">
        <f>IF(AND(O1508&gt;0,NOT($O$12="9%")),"Ineligible, not 9%!","")</f>
        <v/>
      </c>
      <c r="M1508" s="2563">
        <v>2</v>
      </c>
      <c r="N1508" s="2413"/>
      <c r="O1508" s="2075">
        <f>'Part VIII Scoring Criteria'!O359</f>
        <v>0</v>
      </c>
      <c r="P1508" s="2075"/>
      <c r="Q1508" s="2563" t="s">
        <v>787</v>
      </c>
      <c r="R1508" s="2403"/>
      <c r="S1508" s="2403"/>
      <c r="T1508" s="1660"/>
      <c r="U1508" s="1660"/>
      <c r="V1508" s="1660"/>
      <c r="W1508" s="1660"/>
      <c r="X1508" s="1660"/>
      <c r="Y1508" s="1660"/>
      <c r="Z1508" s="1660"/>
      <c r="AA1508" s="1660"/>
      <c r="AB1508" s="1660"/>
      <c r="AC1508" s="1660"/>
      <c r="AD1508" s="1660"/>
      <c r="AE1508" s="1660"/>
      <c r="AF1508" s="1660"/>
    </row>
    <row r="1509" spans="1:32" ht="14.1">
      <c r="A1509" s="2073"/>
      <c r="B1509" s="2415" t="s">
        <v>2038</v>
      </c>
      <c r="C1509" s="1660"/>
      <c r="D1509" s="1667"/>
      <c r="E1509" s="1667"/>
      <c r="F1509" s="1660"/>
      <c r="G1509" s="1631"/>
      <c r="H1509" s="1660"/>
      <c r="I1509" s="1631" t="str">
        <f>'Part VIII Scoring Criteria'!I360</f>
        <v>Enter GICH Community Name</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4.1">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1">
      <c r="A1511" s="1631"/>
      <c r="B1511" s="2409" t="s">
        <v>2284</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4.1">
      <c r="A1512" s="2424" t="str">
        <f>'Part VIII Scoring Criteria'!A363</f>
        <v xml:space="preserve">Property is not in a GICH community. </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1">
      <c r="A1513" s="1631"/>
      <c r="B1513" s="2409" t="s">
        <v>1437</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4.1">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4.1">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4.1">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1620</v>
      </c>
      <c r="B1517" s="2067" t="s">
        <v>2041</v>
      </c>
      <c r="C1517" s="1631"/>
      <c r="D1517" s="2067"/>
      <c r="E1517" s="2067"/>
      <c r="F1517" s="1631"/>
      <c r="G1517" s="1631"/>
      <c r="H1517" s="1631"/>
      <c r="I1517" s="2469" t="str">
        <f>IF(AND($O1517&gt;0,NOT($F$12="Preservation")),"Ineligible, not Preservation!","")</f>
        <v/>
      </c>
      <c r="J1517" s="1631"/>
      <c r="K1517" s="1631"/>
      <c r="L1517" s="1631"/>
      <c r="M1517" s="2563"/>
      <c r="N1517" s="1645"/>
      <c r="O1517" s="2408">
        <f>'Part VIII Scoring Criteria'!O368</f>
        <v>0</v>
      </c>
      <c r="P1517" s="2408">
        <f>'Part VIII Scoring Criteria'!P368</f>
        <v>0</v>
      </c>
      <c r="Q1517" s="2563" t="s">
        <v>787</v>
      </c>
      <c r="R1517" s="2415"/>
      <c r="S1517" s="1631"/>
      <c r="T1517" s="1631"/>
      <c r="U1517" s="1631"/>
      <c r="V1517" s="1631"/>
      <c r="W1517" s="1631"/>
      <c r="X1517" s="1631"/>
      <c r="Y1517" s="1631"/>
      <c r="Z1517" s="1631"/>
      <c r="AA1517" s="1631"/>
      <c r="AB1517" s="1631"/>
      <c r="AC1517" s="1631"/>
      <c r="AD1517" s="1631"/>
      <c r="AE1517" s="1631"/>
      <c r="AF1517" s="1631"/>
    </row>
    <row r="1518" spans="1:32" ht="14.1">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4.1">
      <c r="A1519" s="2563" t="s">
        <v>199</v>
      </c>
      <c r="B1519" s="1630" t="s">
        <v>2042</v>
      </c>
      <c r="C1519" s="1631"/>
      <c r="D1519" s="2067"/>
      <c r="E1519" s="2067"/>
      <c r="F1519" s="1631"/>
      <c r="G1519" s="1631"/>
      <c r="H1519" s="1631"/>
      <c r="I1519" s="1631"/>
      <c r="J1519" s="1631"/>
      <c r="K1519" s="1631"/>
      <c r="L1519" s="2443" t="s">
        <v>1754</v>
      </c>
      <c r="M1519" s="2563">
        <v>6</v>
      </c>
      <c r="N1519" s="1645"/>
      <c r="O1519" s="1659">
        <f>'Part VIII Scoring Criteria'!O370</f>
        <v>0</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4.1">
      <c r="A1520" s="2420" t="s">
        <v>211</v>
      </c>
      <c r="B1520" s="1630" t="s">
        <v>2043</v>
      </c>
      <c r="C1520" s="1631"/>
      <c r="D1520" s="2067"/>
      <c r="E1520" s="2067"/>
      <c r="F1520" s="2453" t="s">
        <v>2044</v>
      </c>
      <c r="G1520" s="1631"/>
      <c r="H1520" s="1631"/>
      <c r="I1520" s="1631"/>
      <c r="J1520" s="1631"/>
      <c r="K1520" s="2414" t="str">
        <f>IF(OR($O1520=$M1520,$O1520=0,$O1520=""),"","*CHECK!*")</f>
        <v/>
      </c>
      <c r="L1520" s="2443" t="s">
        <v>1754</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4.1">
      <c r="A1521" s="2449"/>
      <c r="B1521" s="1631" t="s">
        <v>2045</v>
      </c>
      <c r="C1521" s="1631"/>
      <c r="D1521" s="2067"/>
      <c r="E1521" s="2067"/>
      <c r="F1521" s="1630"/>
      <c r="G1521" s="1631"/>
      <c r="H1521" s="1631"/>
      <c r="I1521" s="1631"/>
      <c r="J1521" s="1631"/>
      <c r="K1521" s="1631"/>
      <c r="L1521" s="2414"/>
      <c r="M1521" s="2563"/>
      <c r="N1521" s="1645"/>
      <c r="O1521" s="1659">
        <f>'Part VIII Scoring Criteria'!O372</f>
        <v>0</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4.1">
      <c r="A1522" s="2563" t="s">
        <v>232</v>
      </c>
      <c r="B1522" s="2403" t="s">
        <v>2046</v>
      </c>
      <c r="C1522" s="1665"/>
      <c r="D1522" s="1665"/>
      <c r="E1522" s="1665"/>
      <c r="F1522" s="1665"/>
      <c r="G1522" s="1665"/>
      <c r="H1522" s="1665"/>
      <c r="I1522" s="1665"/>
      <c r="J1522" s="1631"/>
      <c r="K1522" s="1631"/>
      <c r="L1522" s="2443" t="s">
        <v>1754</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4.1">
      <c r="A1523" s="2563" t="s">
        <v>234</v>
      </c>
      <c r="B1523" s="1630" t="s">
        <v>2047</v>
      </c>
      <c r="C1523" s="1660"/>
      <c r="D1523" s="1660"/>
      <c r="E1523" s="1667"/>
      <c r="F1523" s="1631"/>
      <c r="G1523" s="1631"/>
      <c r="H1523" s="1631"/>
      <c r="I1523" s="1660"/>
      <c r="J1523" s="1660"/>
      <c r="K1523" s="1645"/>
      <c r="L1523" s="2443" t="s">
        <v>1754</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3" t="s">
        <v>241</v>
      </c>
      <c r="B1524" s="1630" t="s">
        <v>2048</v>
      </c>
      <c r="C1524" s="1631"/>
      <c r="D1524" s="2067"/>
      <c r="E1524" s="1631"/>
      <c r="F1524" s="2453" t="s">
        <v>2049</v>
      </c>
      <c r="G1524" s="1631"/>
      <c r="H1524" s="1631"/>
      <c r="I1524" s="1631"/>
      <c r="J1524" s="1631"/>
      <c r="K1524" s="2469" t="str">
        <f>IF(AND($O1524&gt;0,NOT($F$12="Preservation")),"Ineligible, not Preservation!","")</f>
        <v/>
      </c>
      <c r="L1524" s="2443" t="s">
        <v>1754</v>
      </c>
      <c r="M1524" s="2563">
        <v>20</v>
      </c>
      <c r="N1524" s="1645"/>
      <c r="O1524" s="1659">
        <f>'Part VIII Scoring Criteria'!O375</f>
        <v>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4.1">
      <c r="A1525" s="2563"/>
      <c r="B1525" s="1630"/>
      <c r="C1525" s="1631" t="s">
        <v>2050</v>
      </c>
      <c r="D1525" s="2067"/>
      <c r="E1525" s="2067"/>
      <c r="F1525" s="1631"/>
      <c r="G1525" s="1631"/>
      <c r="H1525" s="1631"/>
      <c r="I1525" s="1631"/>
      <c r="J1525" s="2563" t="s">
        <v>1745</v>
      </c>
      <c r="K1525" s="2563" t="s">
        <v>774</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4.1">
      <c r="A1526" s="2563"/>
      <c r="B1526" s="1630"/>
      <c r="C1526" s="1631"/>
      <c r="D1526" s="1631" t="s">
        <v>2051</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4.1">
      <c r="A1527" s="2563"/>
      <c r="B1527" s="1630"/>
      <c r="C1527" s="1631"/>
      <c r="D1527" s="1631" t="s">
        <v>2052</v>
      </c>
      <c r="E1527" s="2067"/>
      <c r="F1527" s="1631"/>
      <c r="G1527" s="1631"/>
      <c r="H1527" s="1631"/>
      <c r="I1527" s="1631"/>
      <c r="J1527" s="2498">
        <f>'Part VIII Scoring Criteria'!J378</f>
        <v>2</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4.1">
      <c r="A1528" s="2563"/>
      <c r="B1528" s="1630"/>
      <c r="C1528" s="1631"/>
      <c r="D1528" s="1631" t="s">
        <v>2053</v>
      </c>
      <c r="E1528" s="1631"/>
      <c r="F1528" s="2453"/>
      <c r="G1528" s="1631"/>
      <c r="H1528" s="1631"/>
      <c r="I1528" s="1631"/>
      <c r="J1528" s="2498">
        <f>'Part VIII Scoring Criteria'!J379</f>
        <v>3</v>
      </c>
      <c r="K1528" s="2504">
        <f>$P$190</f>
        <v>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4.1">
      <c r="A1529" s="2563"/>
      <c r="B1529" s="1630"/>
      <c r="C1529" s="1631" t="s">
        <v>2054</v>
      </c>
      <c r="D1529" s="1631"/>
      <c r="E1529" s="1631"/>
      <c r="F1529" s="2453"/>
      <c r="G1529" s="1631"/>
      <c r="H1529" s="1631"/>
      <c r="I1529" s="2462" t="s">
        <v>2055</v>
      </c>
      <c r="J1529" s="2498">
        <f>'Part VIII Scoring Criteria'!J380</f>
        <v>10</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4.1">
      <c r="A1530" s="2563"/>
      <c r="B1530" s="1630"/>
      <c r="C1530" s="1631"/>
      <c r="D1530" s="1631" t="s">
        <v>2004</v>
      </c>
      <c r="E1530" s="1631"/>
      <c r="F1530" s="2453"/>
      <c r="G1530" s="1631"/>
      <c r="H1530" s="1631"/>
      <c r="I1530" s="1631"/>
      <c r="J1530" s="2498">
        <f>'Part VIII Scoring Criteria'!J381</f>
        <v>0</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4.1">
      <c r="A1531" s="2563"/>
      <c r="B1531" s="1630"/>
      <c r="C1531" s="1631"/>
      <c r="D1531" s="1631" t="s">
        <v>1750</v>
      </c>
      <c r="E1531" s="1631"/>
      <c r="F1531" s="2453"/>
      <c r="G1531" s="1631"/>
      <c r="H1531" s="1631"/>
      <c r="I1531" s="1631"/>
      <c r="J1531" s="2407">
        <f>'Part VIII Scoring Criteria'!J382</f>
        <v>10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4.1">
      <c r="A1532" s="2563"/>
      <c r="B1532" s="1630"/>
      <c r="C1532" s="1631"/>
      <c r="D1532" s="1631" t="s">
        <v>2056</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4.1">
      <c r="A1533" s="2563" t="s">
        <v>243</v>
      </c>
      <c r="B1533" s="1630" t="s">
        <v>2057</v>
      </c>
      <c r="C1533" s="1631"/>
      <c r="D1533" s="2067"/>
      <c r="E1533" s="1631"/>
      <c r="F1533" s="1631"/>
      <c r="G1533" s="2412"/>
      <c r="H1533" s="1631"/>
      <c r="I1533" s="1631"/>
      <c r="J1533" s="1631"/>
      <c r="K1533" s="2414" t="str">
        <f>IF(OR($O1533&lt;=$M1533,$O1533=0,$O1533=""),"","*CHECK!*")</f>
        <v/>
      </c>
      <c r="L1533" s="2069" t="s">
        <v>1754</v>
      </c>
      <c r="M1533" s="2563">
        <v>22</v>
      </c>
      <c r="N1533" s="1645"/>
      <c r="O1533" s="1659">
        <f>'Part VIII Scoring Criteria'!O384</f>
        <v>0</v>
      </c>
      <c r="P1533" s="1659">
        <f>'Part VIII Scoring Criteria'!P384</f>
        <v>0</v>
      </c>
      <c r="Q1533" s="2563" t="s">
        <v>787</v>
      </c>
      <c r="R1533" s="2415"/>
      <c r="S1533" s="1631"/>
      <c r="T1533" s="1631"/>
      <c r="U1533" s="1631"/>
      <c r="V1533" s="1631"/>
      <c r="W1533" s="1631"/>
      <c r="X1533" s="1631"/>
      <c r="Y1533" s="1631"/>
      <c r="Z1533" s="1631"/>
      <c r="AA1533" s="1631"/>
      <c r="AB1533" s="1631"/>
      <c r="AC1533" s="1631"/>
      <c r="AD1533" s="1631"/>
      <c r="AE1533" s="1631"/>
      <c r="AF1533" s="1631"/>
    </row>
    <row r="1534" spans="1:32" ht="14.1">
      <c r="A1534" s="2563"/>
      <c r="B1534" s="2416"/>
      <c r="C1534" s="1662" t="s">
        <v>2058</v>
      </c>
      <c r="D1534" s="1631"/>
      <c r="E1534" s="1631"/>
      <c r="F1534" s="1631"/>
      <c r="G1534" s="1631"/>
      <c r="H1534" s="2505" t="s">
        <v>2059</v>
      </c>
      <c r="I1534" s="2563"/>
      <c r="J1534" s="2452">
        <f>'Part VIII Scoring Criteria'!J385</f>
        <v>0</v>
      </c>
      <c r="K1534" s="1662"/>
      <c r="L1534" s="2443" t="s">
        <v>1754</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4.1">
      <c r="A1535" s="2563"/>
      <c r="B1535" s="2418"/>
      <c r="C1535" s="1665" t="s">
        <v>2060</v>
      </c>
      <c r="D1535" s="1665"/>
      <c r="E1535" s="1665"/>
      <c r="F1535" s="1631"/>
      <c r="G1535" s="1631"/>
      <c r="H1535" s="2453" t="s">
        <v>2061</v>
      </c>
      <c r="I1535" s="1665"/>
      <c r="J1535" s="1664">
        <f>'Part VIII Scoring Criteria'!J386</f>
        <v>0</v>
      </c>
      <c r="K1535" s="1665"/>
      <c r="L1535" s="2443" t="s">
        <v>1754</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4.1">
      <c r="A1536" s="1660"/>
      <c r="B1536" s="2416"/>
      <c r="C1536" s="1631" t="s">
        <v>2062</v>
      </c>
      <c r="D1536" s="1660"/>
      <c r="E1536" s="1660"/>
      <c r="F1536" s="2453" t="s">
        <v>2063</v>
      </c>
      <c r="G1536" s="1660"/>
      <c r="H1536" s="1660"/>
      <c r="I1536" s="1660"/>
      <c r="J1536" s="1660"/>
      <c r="K1536" s="1645" t="str">
        <f>IF(OR($O1536="",$O$12="4%"),"","Ineligible!")</f>
        <v>Ineligible!</v>
      </c>
      <c r="L1536" s="2443" t="s">
        <v>1754</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4.1">
      <c r="A1537" s="2563"/>
      <c r="B1537" s="1660" t="s">
        <v>2064</v>
      </c>
      <c r="C1537" s="1660"/>
      <c r="D1537" s="1660" t="s">
        <v>2065</v>
      </c>
      <c r="E1537" s="1631"/>
      <c r="F1537" s="1631"/>
      <c r="G1537" s="1631" t="s">
        <v>249</v>
      </c>
      <c r="H1537" s="1631"/>
      <c r="I1537" s="1631"/>
      <c r="J1537" s="1631" t="s">
        <v>58</v>
      </c>
      <c r="K1537" s="1660"/>
      <c r="L1537" s="2564" t="s">
        <v>2012</v>
      </c>
      <c r="M1537" s="1660" t="s">
        <v>2066</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1">
      <c r="A1538" s="2417" t="s">
        <v>216</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1">
      <c r="A1539" s="2417" t="s">
        <v>219</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1">
      <c r="A1540" s="2417" t="s">
        <v>221</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1">
      <c r="A1541" s="2417" t="s">
        <v>2067</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1">
      <c r="A1542" s="2417" t="s">
        <v>2068</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1">
      <c r="A1543" s="2417" t="s">
        <v>2069</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1">
      <c r="A1544" s="2417" t="s">
        <v>2070</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1">
      <c r="A1545" s="2417" t="s">
        <v>2071</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1">
      <c r="A1546" s="2417" t="s">
        <v>2072</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1">
      <c r="A1547" s="2417" t="s">
        <v>2073</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4.1">
      <c r="A1548" s="2420"/>
      <c r="B1548" s="2418"/>
      <c r="C1548" s="1665" t="s">
        <v>2074</v>
      </c>
      <c r="D1548" s="1665"/>
      <c r="E1548" s="1665"/>
      <c r="F1548" s="2453" t="s">
        <v>2063</v>
      </c>
      <c r="G1548" s="1665"/>
      <c r="H1548" s="2453" t="s">
        <v>2075</v>
      </c>
      <c r="I1548" s="1665"/>
      <c r="J1548" s="2452">
        <f>'Part VIII Scoring Criteria'!J399</f>
        <v>0</v>
      </c>
      <c r="K1548" s="1645" t="str">
        <f>IF(OR($O1548="",$O$12="4%"),"","Ineligible!")</f>
        <v>Ineligible!</v>
      </c>
      <c r="L1548" s="2443" t="s">
        <v>1754</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1">
      <c r="A1549" s="1631"/>
      <c r="B1549" s="2409" t="s">
        <v>2284</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4.1">
      <c r="A1550" s="2424">
        <f>'Part VIII Scoring Criteria'!A401</f>
        <v>0</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1">
      <c r="A1551" s="2409"/>
      <c r="B1551" s="2409" t="s">
        <v>1437</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4.1">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25" customHeight="1">
      <c r="A1553" s="1631"/>
      <c r="B1553" s="1631"/>
      <c r="C1553" s="1666"/>
      <c r="D1553" s="1666"/>
      <c r="E1553" s="1666"/>
      <c r="F1553" s="1666"/>
      <c r="G1553" s="1666"/>
      <c r="H1553" s="1666"/>
      <c r="I1553" s="1666"/>
      <c r="J1553" s="1666"/>
      <c r="K1553" s="1666"/>
      <c r="L1553" s="1666"/>
      <c r="M1553" s="1666"/>
      <c r="N1553" s="1664"/>
      <c r="O1553" s="2420"/>
      <c r="P1553" s="2563"/>
      <c r="Q1553" s="2500" t="s">
        <v>2299</v>
      </c>
      <c r="R1553" s="2500"/>
      <c r="S1553" s="2500"/>
      <c r="T1553" s="2500"/>
      <c r="U1553" s="2500"/>
      <c r="V1553" s="2500"/>
      <c r="W1553" s="2500"/>
      <c r="X1553" s="2500"/>
      <c r="Y1553" s="2500"/>
      <c r="Z1553" s="2500"/>
      <c r="AA1553" s="2500"/>
      <c r="AB1553" s="2500"/>
      <c r="AC1553" s="2500"/>
      <c r="AD1553" s="2500"/>
      <c r="AE1553" s="2500"/>
      <c r="AF1553" s="2500"/>
    </row>
    <row r="1554" spans="1:32" ht="14.1">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4.1">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4.1">
      <c r="A1556" s="1630" t="s">
        <v>2077</v>
      </c>
      <c r="B1556" s="1660"/>
      <c r="C1556" s="1631"/>
      <c r="D1556" s="1660"/>
      <c r="E1556" s="1660"/>
      <c r="F1556" s="1660"/>
      <c r="G1556" s="1631"/>
      <c r="H1556" s="1631"/>
      <c r="I1556" s="1631"/>
      <c r="J1556" s="1631"/>
      <c r="K1556" s="1631"/>
      <c r="L1556" s="1631"/>
      <c r="M1556" s="1659"/>
      <c r="N1556" s="2407"/>
      <c r="O1556" s="2408">
        <f>'Part VIII Scoring Criteria'!O407</f>
        <v>80</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1">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4.1">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2300</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1">
      <c r="A1560" s="2424" t="str">
        <f>'Part VIII Scoring Criteria'!A411</f>
        <v xml:space="preserve">Affordable workforce housing is long overdue in this market.  There is a tremendous demand employees in the area, and every economic development director we spoke with, was very exited about the possiblity of adding workforce housing to their communities to help busineses both existing, new, and proposed to flourish and better serve the needs of their communities.  </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ellIs" dxfId="70" priority="99" operator="equal">
      <formula>"&lt;&lt; Select LIHTC Election &gt;&gt;"</formula>
    </cfRule>
    <cfRule type="containsText" dxfId="69" priority="101" operator="containsText" text="&lt;&lt; Select Election or Income Averaging &gt;&gt;">
      <formula>NOT(ISERROR(SEARCH("&lt;&lt; Select Election or Income Averaging &gt;&gt;",L540)))</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activeCell="Q8" sqref="Q8"/>
    </sheetView>
  </sheetViews>
  <sheetFormatPr defaultColWidth="8.7109375" defaultRowHeight="15.95"/>
  <cols>
    <col min="1" max="1" width="2.28515625" style="615" customWidth="1"/>
    <col min="2" max="13" width="7.7109375" style="615" customWidth="1"/>
    <col min="14" max="15" width="5.7109375" style="615" customWidth="1"/>
    <col min="16" max="16384" width="8.7109375" style="615"/>
  </cols>
  <sheetData>
    <row r="1" spans="1:26" ht="18">
      <c r="N1" s="616" t="s">
        <v>2301</v>
      </c>
      <c r="O1" s="616"/>
      <c r="P1" s="616"/>
      <c r="Q1" s="616"/>
      <c r="R1" s="616"/>
      <c r="S1" s="616"/>
      <c r="T1" s="616"/>
      <c r="U1" s="616"/>
      <c r="V1" s="616"/>
      <c r="W1" s="616"/>
      <c r="X1" s="616"/>
      <c r="Y1" s="616"/>
      <c r="Z1" s="616"/>
    </row>
    <row r="2" spans="1:26">
      <c r="N2" s="617" t="s">
        <v>2302</v>
      </c>
      <c r="O2" s="617"/>
      <c r="P2" s="617"/>
      <c r="Q2" s="617"/>
      <c r="R2" s="617"/>
      <c r="S2" s="617"/>
      <c r="T2" s="617"/>
      <c r="U2" s="617"/>
      <c r="V2" s="617"/>
      <c r="W2" s="617"/>
      <c r="X2" s="617"/>
      <c r="Y2" s="617"/>
      <c r="Z2" s="617"/>
    </row>
    <row r="3" spans="1:26">
      <c r="N3" s="618" t="s">
        <v>2303</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2304</v>
      </c>
    </row>
    <row r="5" spans="1:26" ht="59.25" customHeight="1">
      <c r="A5" s="3547" t="s">
        <v>2305</v>
      </c>
      <c r="B5" s="3547"/>
      <c r="C5" s="3547"/>
      <c r="D5" s="3547"/>
      <c r="E5" s="3547"/>
      <c r="F5" s="3547"/>
      <c r="G5" s="3547"/>
      <c r="H5" s="3547"/>
      <c r="I5" s="3547"/>
      <c r="J5" s="3547"/>
      <c r="K5" s="3547"/>
      <c r="L5" s="3547"/>
      <c r="M5" s="3547"/>
    </row>
    <row r="6" spans="1:26" ht="11.85" customHeight="1">
      <c r="A6" s="619"/>
      <c r="B6" s="619"/>
      <c r="C6" s="619"/>
      <c r="D6" s="619"/>
      <c r="E6" s="619"/>
      <c r="F6" s="619"/>
      <c r="G6" s="619"/>
      <c r="H6" s="619"/>
      <c r="I6" s="619"/>
      <c r="J6" s="619"/>
      <c r="K6" s="619"/>
      <c r="L6" s="619"/>
      <c r="M6" s="619"/>
    </row>
    <row r="7" spans="1:26">
      <c r="A7" s="619" t="s">
        <v>2306</v>
      </c>
      <c r="B7" s="619"/>
      <c r="C7" s="619"/>
      <c r="D7" s="619"/>
      <c r="E7" s="619"/>
      <c r="F7" s="619"/>
      <c r="G7" s="619"/>
      <c r="H7" s="619"/>
      <c r="I7" s="619"/>
      <c r="J7" s="619"/>
      <c r="K7" s="619"/>
      <c r="L7" s="619"/>
      <c r="M7" s="619"/>
    </row>
    <row r="8" spans="1:26" ht="11.85" customHeight="1">
      <c r="A8" s="619"/>
      <c r="B8" s="619"/>
      <c r="C8" s="619"/>
      <c r="D8" s="619"/>
      <c r="E8" s="619"/>
      <c r="F8" s="619"/>
      <c r="G8" s="619"/>
      <c r="H8" s="619"/>
      <c r="I8" s="619"/>
      <c r="J8" s="619"/>
      <c r="K8" s="619"/>
      <c r="L8" s="619"/>
      <c r="M8" s="619"/>
    </row>
    <row r="9" spans="1:26">
      <c r="A9" s="3548" t="s">
        <v>2307</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2308</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1509</v>
      </c>
      <c r="B13" s="3550" t="s">
        <v>2309</v>
      </c>
      <c r="C13" s="3550"/>
      <c r="D13" s="3550"/>
      <c r="E13" s="3550"/>
      <c r="F13" s="3550"/>
      <c r="G13" s="3550"/>
      <c r="H13" s="3550"/>
      <c r="I13" s="3550"/>
      <c r="J13" s="3550"/>
      <c r="K13" s="3550"/>
      <c r="L13" s="3550"/>
      <c r="M13" s="3550"/>
      <c r="U13" s="615" t="s">
        <v>2310</v>
      </c>
    </row>
    <row r="14" spans="1:26" ht="47.25" customHeight="1">
      <c r="A14" s="621" t="s">
        <v>1512</v>
      </c>
      <c r="B14" s="3550" t="s">
        <v>2311</v>
      </c>
      <c r="C14" s="3550"/>
      <c r="D14" s="3550"/>
      <c r="E14" s="3550"/>
      <c r="F14" s="3550"/>
      <c r="G14" s="3550"/>
      <c r="H14" s="3550"/>
      <c r="I14" s="3550"/>
      <c r="J14" s="3550"/>
      <c r="K14" s="3550"/>
      <c r="L14" s="3550"/>
      <c r="M14" s="3550"/>
    </row>
    <row r="15" spans="1:26" ht="117" customHeight="1">
      <c r="A15" s="621" t="s">
        <v>1514</v>
      </c>
      <c r="B15" s="3550" t="s">
        <v>2312</v>
      </c>
      <c r="C15" s="3550"/>
      <c r="D15" s="3550"/>
      <c r="E15" s="3550"/>
      <c r="F15" s="3550"/>
      <c r="G15" s="3550"/>
      <c r="H15" s="3550"/>
      <c r="I15" s="3550"/>
      <c r="J15" s="3550"/>
      <c r="K15" s="3550"/>
      <c r="L15" s="3550"/>
      <c r="M15" s="3550"/>
    </row>
    <row r="16" spans="1:26" ht="147" customHeight="1">
      <c r="A16" s="621" t="s">
        <v>1516</v>
      </c>
      <c r="B16" s="3550" t="s">
        <v>2313</v>
      </c>
      <c r="C16" s="3550"/>
      <c r="D16" s="3550"/>
      <c r="E16" s="3550"/>
      <c r="F16" s="3550"/>
      <c r="G16" s="3550"/>
      <c r="H16" s="3550"/>
      <c r="I16" s="3550"/>
      <c r="J16" s="3550"/>
      <c r="K16" s="3550"/>
      <c r="L16" s="3550"/>
      <c r="M16" s="3550"/>
    </row>
    <row r="17" spans="1:13" ht="48.75" customHeight="1">
      <c r="A17" s="621" t="s">
        <v>2314</v>
      </c>
      <c r="B17" s="3550" t="s">
        <v>2315</v>
      </c>
      <c r="C17" s="3550"/>
      <c r="D17" s="3550"/>
      <c r="E17" s="3550"/>
      <c r="F17" s="3550"/>
      <c r="G17" s="3550"/>
      <c r="H17" s="3550"/>
      <c r="I17" s="3550"/>
      <c r="J17" s="3550"/>
      <c r="K17" s="3550"/>
      <c r="L17" s="3550"/>
      <c r="M17" s="3550"/>
    </row>
    <row r="18" spans="1:13" ht="165" customHeight="1">
      <c r="A18" s="621" t="s">
        <v>2316</v>
      </c>
      <c r="B18" s="3550" t="s">
        <v>2317</v>
      </c>
      <c r="C18" s="3550"/>
      <c r="D18" s="3550"/>
      <c r="E18" s="3550"/>
      <c r="F18" s="3550"/>
      <c r="G18" s="3550"/>
      <c r="H18" s="3550"/>
      <c r="I18" s="3550"/>
      <c r="J18" s="3550"/>
      <c r="K18" s="3550"/>
      <c r="L18" s="3550"/>
      <c r="M18" s="3550"/>
    </row>
    <row r="19" spans="1:13" ht="48.75" customHeight="1">
      <c r="A19" s="621" t="s">
        <v>2318</v>
      </c>
      <c r="B19" s="3546" t="s">
        <v>2319</v>
      </c>
      <c r="C19" s="3546"/>
      <c r="D19" s="3546"/>
      <c r="E19" s="3546"/>
      <c r="F19" s="3546"/>
      <c r="G19" s="3546"/>
      <c r="H19" s="3546"/>
      <c r="I19" s="3546"/>
      <c r="J19" s="3546"/>
      <c r="K19" s="3546"/>
      <c r="L19" s="3546"/>
      <c r="M19" s="3546"/>
    </row>
    <row r="20" spans="1:13" ht="50.25" customHeight="1">
      <c r="A20" s="621" t="s">
        <v>2320</v>
      </c>
      <c r="B20" s="3550" t="s">
        <v>2321</v>
      </c>
      <c r="C20" s="3550"/>
      <c r="D20" s="3550"/>
      <c r="E20" s="3550"/>
      <c r="F20" s="3550"/>
      <c r="G20" s="3550"/>
      <c r="H20" s="3550"/>
      <c r="I20" s="3550"/>
      <c r="J20" s="3550"/>
      <c r="K20" s="3550"/>
      <c r="L20" s="3550"/>
      <c r="M20" s="3550"/>
    </row>
    <row r="21" spans="1:13" ht="31.5" customHeight="1">
      <c r="A21" s="621" t="s">
        <v>2322</v>
      </c>
      <c r="B21" s="3550" t="s">
        <v>2323</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2324</v>
      </c>
      <c r="B24" s="3548"/>
      <c r="C24" s="3548"/>
      <c r="D24" s="3548"/>
      <c r="E24" s="3548"/>
      <c r="F24" s="3548"/>
      <c r="G24" s="3548"/>
      <c r="H24" s="3548"/>
      <c r="I24" s="3548"/>
      <c r="J24" s="3548"/>
      <c r="K24" s="3548"/>
      <c r="L24" s="3548"/>
      <c r="M24" s="3548"/>
    </row>
    <row r="25" spans="1:13" ht="32.25" customHeight="1">
      <c r="A25" s="621" t="s">
        <v>2325</v>
      </c>
      <c r="B25" s="3550" t="s">
        <v>2326</v>
      </c>
      <c r="C25" s="3550"/>
      <c r="D25" s="3550"/>
      <c r="E25" s="3550"/>
      <c r="F25" s="3550"/>
      <c r="G25" s="3550"/>
      <c r="H25" s="3550"/>
      <c r="I25" s="3550"/>
      <c r="J25" s="3550"/>
      <c r="K25" s="3550"/>
      <c r="L25" s="3550"/>
      <c r="M25" s="3550"/>
    </row>
    <row r="26" spans="1:13" ht="31.5" customHeight="1">
      <c r="A26" s="621" t="s">
        <v>2325</v>
      </c>
      <c r="B26" s="3550" t="s">
        <v>2327</v>
      </c>
      <c r="C26" s="3550"/>
      <c r="D26" s="3550"/>
      <c r="E26" s="3550"/>
      <c r="F26" s="3550"/>
      <c r="G26" s="3550"/>
      <c r="H26" s="3550"/>
      <c r="I26" s="3550"/>
      <c r="J26" s="3550"/>
      <c r="K26" s="3550"/>
      <c r="L26" s="3550"/>
      <c r="M26" s="3550"/>
    </row>
    <row r="27" spans="1:13" ht="78.75" customHeight="1">
      <c r="A27" s="621" t="s">
        <v>2325</v>
      </c>
      <c r="B27" s="3550" t="s">
        <v>2328</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2329</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2330</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c r="A33" s="3548" t="s">
        <v>2331</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c r="A35" s="3551" t="s">
        <v>2332</v>
      </c>
      <c r="B35" s="3551"/>
      <c r="C35" s="3551"/>
      <c r="D35" s="3551"/>
      <c r="E35" s="3551"/>
      <c r="F35" s="3551"/>
      <c r="G35" s="619"/>
      <c r="H35" s="3551" t="s">
        <v>40</v>
      </c>
      <c r="I35" s="3551"/>
      <c r="J35" s="3551"/>
      <c r="K35" s="3551"/>
      <c r="L35" s="3551"/>
      <c r="M35" s="3551"/>
    </row>
    <row r="36" spans="1:13" ht="12" customHeight="1">
      <c r="A36" s="4593" t="s">
        <v>2333</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52"/>
      <c r="B38" s="3552"/>
      <c r="C38" s="3552"/>
      <c r="D38" s="3552"/>
      <c r="E38" s="3552"/>
      <c r="F38" s="3552"/>
      <c r="G38" s="619"/>
      <c r="H38" s="3553">
        <v>45429</v>
      </c>
      <c r="I38" s="3553"/>
      <c r="J38" s="3553"/>
      <c r="K38" s="3553"/>
      <c r="L38" s="3553"/>
      <c r="M38" s="3553"/>
    </row>
    <row r="39" spans="1:13" ht="12" customHeight="1">
      <c r="A39" s="4593" t="s">
        <v>2334</v>
      </c>
      <c r="B39" s="4593"/>
      <c r="C39" s="4593"/>
      <c r="D39" s="4593"/>
      <c r="E39" s="4593"/>
      <c r="F39" s="4593"/>
      <c r="G39" s="619"/>
      <c r="H39" s="4593" t="s">
        <v>2335</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85" customHeight="1">
      <c r="A41" s="619"/>
      <c r="B41" s="619"/>
      <c r="C41" s="619"/>
      <c r="D41" s="619"/>
      <c r="E41" s="619"/>
      <c r="F41" s="619"/>
      <c r="G41" s="619"/>
      <c r="H41" s="3554" t="s">
        <v>2336</v>
      </c>
      <c r="I41" s="3554"/>
      <c r="J41" s="3554"/>
      <c r="K41" s="3554"/>
      <c r="L41" s="3554"/>
      <c r="M41" s="3554"/>
    </row>
    <row r="42" spans="1:13" ht="11.85" customHeight="1">
      <c r="A42" s="619"/>
      <c r="B42" s="619"/>
      <c r="C42" s="619"/>
      <c r="D42" s="619"/>
      <c r="E42" s="619"/>
      <c r="F42" s="619"/>
      <c r="G42" s="619"/>
    </row>
    <row r="43" spans="1:13" ht="11.85" customHeight="1">
      <c r="A43" s="619"/>
      <c r="B43" s="619"/>
      <c r="C43" s="619"/>
      <c r="D43" s="619"/>
      <c r="E43" s="619"/>
      <c r="F43" s="619"/>
      <c r="G43" s="619"/>
      <c r="H43" s="619"/>
      <c r="I43" s="619"/>
      <c r="J43" s="619"/>
      <c r="K43" s="619"/>
      <c r="L43" s="619"/>
      <c r="M43" s="619"/>
    </row>
    <row r="44" spans="1:13" ht="11.85" customHeight="1">
      <c r="A44" s="619"/>
      <c r="B44" s="619"/>
      <c r="C44" s="619"/>
      <c r="D44" s="619"/>
      <c r="E44" s="619"/>
      <c r="F44" s="619"/>
      <c r="G44" s="619"/>
      <c r="H44" s="619"/>
      <c r="I44" s="619"/>
      <c r="J44" s="619"/>
      <c r="K44" s="619"/>
      <c r="L44" s="619"/>
      <c r="M44" s="619"/>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5"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4.1"/>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2337</v>
      </c>
      <c r="B1" s="1009"/>
      <c r="C1" s="1009"/>
      <c r="D1" s="1009"/>
      <c r="E1" s="1009"/>
      <c r="F1" s="1009"/>
      <c r="G1" s="1009"/>
      <c r="H1" s="1009"/>
    </row>
    <row r="2" spans="1:11" ht="18.95" thickBot="1">
      <c r="A2" s="1009" t="s">
        <v>2338</v>
      </c>
      <c r="B2" s="1009"/>
      <c r="C2" s="1009"/>
      <c r="D2" s="1009"/>
      <c r="E2" s="1009"/>
      <c r="F2" s="1009"/>
      <c r="G2" s="1009"/>
      <c r="H2" s="1009"/>
    </row>
    <row r="3" spans="1:11" ht="15" customHeight="1" thickBot="1">
      <c r="A3" s="973" t="s">
        <v>2339</v>
      </c>
      <c r="B3" s="4594"/>
      <c r="C3" s="4595"/>
      <c r="D3" s="3611" t="str">
        <f>'Part I-Project Identification'!F26</f>
        <v>Abbington Blue Ridge</v>
      </c>
      <c r="E3" s="3612"/>
      <c r="F3" s="3612"/>
      <c r="G3" s="3612"/>
      <c r="H3" s="3612"/>
      <c r="I3" s="3612"/>
      <c r="J3" s="3613" t="s">
        <v>2340</v>
      </c>
      <c r="K3" s="3614"/>
    </row>
    <row r="4" spans="1:11" ht="15" customHeight="1">
      <c r="A4" s="975" t="s">
        <v>2341</v>
      </c>
      <c r="B4" s="976"/>
      <c r="C4" s="977"/>
      <c r="D4" s="3615"/>
      <c r="E4" s="3616"/>
      <c r="F4" s="3616"/>
      <c r="G4" s="3616"/>
      <c r="H4" s="3616"/>
      <c r="I4" s="3616"/>
      <c r="J4" s="3617" t="s">
        <v>2342</v>
      </c>
      <c r="K4" s="3618"/>
    </row>
    <row r="5" spans="1:11" ht="15" customHeight="1" thickBot="1">
      <c r="A5" s="978" t="s">
        <v>2343</v>
      </c>
      <c r="B5" s="979"/>
      <c r="C5" s="980"/>
      <c r="D5" s="3621"/>
      <c r="E5" s="3622"/>
      <c r="F5" s="3622"/>
      <c r="G5" s="3622"/>
      <c r="H5" s="3622"/>
      <c r="I5" s="3622"/>
      <c r="J5" s="3619"/>
      <c r="K5" s="3620"/>
    </row>
    <row r="6" spans="1:11" ht="9" customHeight="1" thickBot="1">
      <c r="E6" s="972"/>
    </row>
    <row r="7" spans="1:11">
      <c r="A7" s="3605" t="s">
        <v>2344</v>
      </c>
      <c r="B7" s="3606"/>
      <c r="C7" s="3606"/>
      <c r="D7" s="3606"/>
      <c r="E7" s="3606"/>
      <c r="F7" s="3606"/>
      <c r="G7" s="3606"/>
      <c r="H7" s="3606"/>
      <c r="I7" s="3606"/>
      <c r="J7" s="3606"/>
      <c r="K7" s="3607"/>
    </row>
    <row r="8" spans="1:11" ht="14.25" customHeight="1">
      <c r="A8" s="976"/>
      <c r="B8" s="976"/>
      <c r="C8" s="1162">
        <v>1</v>
      </c>
      <c r="D8" s="991" t="s">
        <v>2345</v>
      </c>
      <c r="E8" s="991"/>
      <c r="F8" s="991"/>
      <c r="G8" s="991"/>
      <c r="H8" s="991"/>
      <c r="I8" s="991"/>
      <c r="J8" s="3625"/>
      <c r="K8" s="3626"/>
    </row>
    <row r="9" spans="1:11" ht="7.35" customHeight="1">
      <c r="A9" s="3601"/>
      <c r="B9" s="3601"/>
      <c r="C9" s="3601"/>
      <c r="D9" s="3602"/>
      <c r="E9" s="3602"/>
      <c r="F9" s="3602"/>
      <c r="G9" s="3602"/>
      <c r="H9" s="3602"/>
      <c r="I9" s="3602"/>
      <c r="J9" s="3602"/>
      <c r="K9" s="992"/>
    </row>
    <row r="10" spans="1:11">
      <c r="A10" s="3627" t="s">
        <v>2346</v>
      </c>
      <c r="B10" s="3628"/>
      <c r="C10" s="3628"/>
      <c r="D10" s="3628"/>
      <c r="E10" s="3628"/>
      <c r="F10" s="3628"/>
      <c r="G10" s="3628"/>
      <c r="H10" s="3628"/>
      <c r="I10" s="3628"/>
      <c r="J10" s="3628"/>
      <c r="K10" s="3629"/>
    </row>
    <row r="11" spans="1:11" ht="14.25" customHeight="1">
      <c r="A11" s="976"/>
      <c r="B11" s="976"/>
      <c r="C11" s="1162">
        <v>2</v>
      </c>
      <c r="D11" s="991" t="s">
        <v>2347</v>
      </c>
      <c r="E11" s="993"/>
      <c r="F11" s="993"/>
      <c r="G11" s="993"/>
      <c r="H11" s="993"/>
      <c r="I11" s="993"/>
      <c r="J11" s="3630"/>
      <c r="K11" s="3631"/>
    </row>
    <row r="12" spans="1:11" ht="7.35" customHeight="1">
      <c r="A12" s="3601"/>
      <c r="B12" s="3601"/>
      <c r="C12" s="3601"/>
      <c r="D12" s="3602"/>
      <c r="E12" s="3602"/>
      <c r="F12" s="3602"/>
      <c r="G12" s="3602"/>
      <c r="H12" s="3602"/>
      <c r="I12" s="3602"/>
      <c r="J12" s="3602"/>
      <c r="K12" s="2568"/>
    </row>
    <row r="13" spans="1:11">
      <c r="A13" s="3627" t="s">
        <v>2348</v>
      </c>
      <c r="B13" s="3628"/>
      <c r="C13" s="3628"/>
      <c r="D13" s="3628"/>
      <c r="E13" s="3628"/>
      <c r="F13" s="3628"/>
      <c r="G13" s="3628"/>
      <c r="H13" s="3628"/>
      <c r="I13" s="3628"/>
      <c r="J13" s="3628"/>
      <c r="K13" s="3629"/>
    </row>
    <row r="14" spans="1:11" ht="14.25" customHeight="1">
      <c r="A14" s="976"/>
      <c r="B14" s="976"/>
      <c r="C14" s="1163">
        <v>3</v>
      </c>
      <c r="D14" s="4596" t="s">
        <v>2349</v>
      </c>
      <c r="E14" s="4596"/>
      <c r="F14" s="4596"/>
      <c r="G14" s="4596"/>
      <c r="H14" s="4596"/>
      <c r="I14" s="4596"/>
      <c r="J14" s="3632"/>
      <c r="K14" s="3633"/>
    </row>
    <row r="15" spans="1:11" ht="14.25" customHeight="1">
      <c r="A15" s="976"/>
      <c r="B15" s="976"/>
      <c r="C15" s="1164">
        <v>4</v>
      </c>
      <c r="D15" s="976" t="s">
        <v>2350</v>
      </c>
      <c r="E15" s="976"/>
      <c r="F15" s="976"/>
      <c r="G15" s="976"/>
      <c r="H15" s="976"/>
      <c r="I15" s="976"/>
      <c r="J15" s="3597"/>
      <c r="K15" s="3598"/>
    </row>
    <row r="16" spans="1:11" ht="14.25" customHeight="1">
      <c r="A16" s="976"/>
      <c r="B16" s="976"/>
      <c r="C16" s="1164">
        <v>5</v>
      </c>
      <c r="D16" s="976" t="s">
        <v>2351</v>
      </c>
      <c r="E16" s="976"/>
      <c r="F16" s="976"/>
      <c r="G16" s="976"/>
      <c r="H16" s="976"/>
      <c r="I16" s="976"/>
      <c r="J16" s="3597"/>
      <c r="K16" s="3598"/>
    </row>
    <row r="17" spans="1:13" ht="14.25" customHeight="1">
      <c r="A17" s="976"/>
      <c r="B17" s="976"/>
      <c r="C17" s="1165">
        <v>6</v>
      </c>
      <c r="D17" s="979" t="s">
        <v>2352</v>
      </c>
      <c r="E17" s="979"/>
      <c r="F17" s="979"/>
      <c r="G17" s="979"/>
      <c r="H17" s="979"/>
      <c r="I17" s="979"/>
      <c r="J17" s="3599"/>
      <c r="K17" s="3600"/>
    </row>
    <row r="18" spans="1:13" ht="7.35" customHeight="1">
      <c r="A18" s="3601"/>
      <c r="B18" s="3601"/>
      <c r="C18" s="3601"/>
      <c r="D18" s="3602"/>
      <c r="E18" s="3602"/>
      <c r="F18" s="3602"/>
      <c r="G18" s="3602"/>
      <c r="H18" s="3602"/>
      <c r="I18" s="3602"/>
      <c r="J18" s="3602"/>
      <c r="K18" s="2568"/>
    </row>
    <row r="19" spans="1:13" ht="14.25" customHeight="1">
      <c r="A19" s="976"/>
      <c r="B19" s="976"/>
      <c r="C19" s="1163">
        <v>7</v>
      </c>
      <c r="D19" s="4596" t="s">
        <v>2353</v>
      </c>
      <c r="E19" s="4596"/>
      <c r="F19" s="4596"/>
      <c r="G19" s="4596"/>
      <c r="H19" s="4596"/>
      <c r="I19" s="4596"/>
      <c r="J19" s="3623" t="str">
        <f>IF(J17="No",J14-J15,IF(J17="Yes",J14-J15-J16,"Error"))</f>
        <v>Error</v>
      </c>
      <c r="K19" s="3624"/>
    </row>
    <row r="20" spans="1:13" ht="14.25" customHeight="1">
      <c r="A20" s="976"/>
      <c r="B20" s="976"/>
      <c r="C20" s="1165">
        <v>8</v>
      </c>
      <c r="D20" s="979" t="s">
        <v>2354</v>
      </c>
      <c r="E20" s="979"/>
      <c r="F20" s="979"/>
      <c r="G20" s="979"/>
      <c r="H20" s="979"/>
      <c r="I20" s="979"/>
      <c r="J20" s="3603" t="e">
        <f>ROUNDDOWN(J19/J8,2)</f>
        <v>#VALUE!</v>
      </c>
      <c r="K20" s="3604"/>
    </row>
    <row r="21" spans="1:13" ht="7.35" customHeight="1">
      <c r="A21" s="3601"/>
      <c r="B21" s="3601"/>
      <c r="C21" s="3601"/>
      <c r="D21" s="3602"/>
      <c r="E21" s="3602"/>
      <c r="F21" s="3602"/>
      <c r="G21" s="3602"/>
      <c r="H21" s="3602"/>
      <c r="I21" s="3602"/>
      <c r="J21" s="3602"/>
      <c r="K21" s="2568"/>
    </row>
    <row r="22" spans="1:13" ht="14.25" customHeight="1" thickBot="1">
      <c r="A22" s="976"/>
      <c r="B22" s="976"/>
      <c r="C22" s="1162">
        <v>9</v>
      </c>
      <c r="D22" s="994" t="s">
        <v>2355</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2356</v>
      </c>
      <c r="C24" s="983"/>
      <c r="D24" s="983"/>
      <c r="E24" s="983"/>
      <c r="F24" s="983"/>
      <c r="G24" s="983"/>
      <c r="H24" s="983"/>
      <c r="I24" s="983"/>
      <c r="J24" s="983"/>
      <c r="K24" s="984"/>
    </row>
    <row r="25" spans="1:13" ht="14.25" customHeight="1">
      <c r="A25" s="1032" t="s">
        <v>2357</v>
      </c>
      <c r="C25" s="983"/>
      <c r="D25" s="983"/>
      <c r="E25" s="983"/>
      <c r="F25" s="983"/>
      <c r="G25" s="983"/>
      <c r="H25" s="983"/>
      <c r="I25" s="983"/>
      <c r="J25" s="983"/>
      <c r="K25" s="984"/>
    </row>
    <row r="26" spans="1:13" ht="14.25" customHeight="1">
      <c r="A26" s="1032" t="s">
        <v>2358</v>
      </c>
      <c r="C26" s="983"/>
      <c r="D26" s="983"/>
      <c r="E26" s="983"/>
      <c r="F26" s="983"/>
      <c r="G26" s="983"/>
      <c r="H26" s="983"/>
      <c r="I26" s="983"/>
      <c r="J26" s="983"/>
      <c r="K26" s="984"/>
    </row>
    <row r="27" spans="1:13" ht="14.25" customHeight="1">
      <c r="A27" s="1032" t="s">
        <v>2359</v>
      </c>
      <c r="C27" s="983"/>
      <c r="D27" s="983"/>
      <c r="E27" s="983"/>
      <c r="F27" s="983"/>
      <c r="G27" s="983"/>
      <c r="H27" s="983"/>
      <c r="I27" s="983"/>
      <c r="J27" s="983"/>
      <c r="K27" s="984"/>
    </row>
    <row r="28" spans="1:13" ht="14.25" customHeight="1">
      <c r="A28" s="1032" t="s">
        <v>2360</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2361</v>
      </c>
      <c r="B30" s="3590"/>
      <c r="C30" s="3590"/>
      <c r="D30" s="3590"/>
      <c r="E30" s="3590"/>
      <c r="F30" s="3590"/>
      <c r="G30" s="3590"/>
      <c r="H30" s="3590"/>
      <c r="I30" s="3590"/>
      <c r="J30" s="3590"/>
      <c r="K30" s="3591"/>
    </row>
    <row r="31" spans="1:13">
      <c r="B31" s="3592" t="s">
        <v>2340</v>
      </c>
      <c r="C31" s="3592"/>
      <c r="D31" s="3592"/>
      <c r="E31" s="3592"/>
      <c r="F31" s="3592"/>
      <c r="G31" s="3593" t="s">
        <v>2362</v>
      </c>
      <c r="H31" s="3594"/>
      <c r="I31" s="3594"/>
      <c r="J31" s="3594"/>
      <c r="K31" s="3595"/>
    </row>
    <row r="32" spans="1:13" ht="56.25" customHeight="1">
      <c r="A32" s="2572"/>
      <c r="B32" s="1004" t="s">
        <v>2363</v>
      </c>
      <c r="C32" s="1005" t="s">
        <v>2364</v>
      </c>
      <c r="D32" s="1005" t="s">
        <v>2365</v>
      </c>
      <c r="E32" s="3596" t="s">
        <v>2366</v>
      </c>
      <c r="F32" s="4597"/>
      <c r="G32" s="1006" t="s">
        <v>2367</v>
      </c>
      <c r="H32" s="1006" t="s">
        <v>2368</v>
      </c>
      <c r="J32" s="1006" t="s">
        <v>2369</v>
      </c>
      <c r="K32" s="1006" t="s">
        <v>2370</v>
      </c>
      <c r="L32" s="3582" t="s">
        <v>2371</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2372</v>
      </c>
      <c r="H52" s="1007" t="e">
        <f>SUM(H33:H51)</f>
        <v>#VALUE!</v>
      </c>
      <c r="I52" s="4596"/>
      <c r="J52" s="4598" t="s">
        <v>2373</v>
      </c>
      <c r="K52" s="995" t="e">
        <f>SUM(K33:K51)</f>
        <v>#VALUE!</v>
      </c>
      <c r="L52" s="3582"/>
      <c r="M52" s="3582"/>
    </row>
    <row r="53" spans="1:13" ht="15" customHeight="1">
      <c r="B53" s="2569"/>
      <c r="C53" s="3585" t="s">
        <v>2374</v>
      </c>
      <c r="D53" s="3585"/>
      <c r="E53" s="3585"/>
      <c r="F53" s="3585"/>
      <c r="G53" s="3585"/>
      <c r="H53" s="3585"/>
      <c r="I53" s="3585"/>
      <c r="J53" s="3586"/>
      <c r="K53" s="999" t="str">
        <f>IF(J17="no",0,IF(J17="yes",J16,"Error"))</f>
        <v>Error</v>
      </c>
      <c r="L53" s="3582"/>
      <c r="M53" s="3582"/>
    </row>
    <row r="54" spans="1:13" ht="15" customHeight="1" thickBot="1">
      <c r="B54" s="2569"/>
      <c r="C54" s="3568" t="s">
        <v>2375</v>
      </c>
      <c r="D54" s="3568"/>
      <c r="E54" s="3568"/>
      <c r="F54" s="3568"/>
      <c r="G54" s="3568"/>
      <c r="H54" s="3568"/>
      <c r="I54" s="3568"/>
      <c r="J54" s="3569"/>
      <c r="K54" s="1010" t="e">
        <f>K52+K53</f>
        <v>#VALUE!</v>
      </c>
    </row>
    <row r="55" spans="1:13" ht="8.1" customHeight="1">
      <c r="A55" s="3570"/>
      <c r="B55" s="3564"/>
      <c r="C55" s="3564"/>
      <c r="D55" s="3564"/>
      <c r="E55" s="3564"/>
      <c r="F55" s="3564"/>
      <c r="G55" s="3564"/>
      <c r="H55" s="3564"/>
      <c r="I55" s="3564"/>
      <c r="J55" s="3564"/>
      <c r="K55" s="1021"/>
    </row>
    <row r="56" spans="1:13" ht="15" customHeight="1">
      <c r="A56" s="3565" t="s">
        <v>2376</v>
      </c>
      <c r="B56" s="3566"/>
      <c r="C56" s="3566"/>
      <c r="D56" s="3566"/>
      <c r="E56" s="3566"/>
      <c r="F56" s="3566"/>
      <c r="G56" s="3566"/>
      <c r="H56" s="3566"/>
      <c r="I56" s="3566"/>
      <c r="J56" s="3566"/>
      <c r="K56" s="3567"/>
    </row>
    <row r="57" spans="1:13" ht="48" customHeight="1">
      <c r="A57" s="988"/>
      <c r="B57" s="4599"/>
      <c r="C57" s="990" t="s">
        <v>2377</v>
      </c>
      <c r="D57" s="1088" t="s">
        <v>2378</v>
      </c>
      <c r="E57" s="3571" t="s">
        <v>2379</v>
      </c>
      <c r="F57" s="3572"/>
      <c r="G57" s="3573" t="s">
        <v>2380</v>
      </c>
      <c r="H57" s="3574"/>
      <c r="I57" s="3571" t="s">
        <v>2381</v>
      </c>
      <c r="J57" s="3572"/>
      <c r="K57" s="4600"/>
      <c r="L57" s="3608" t="s">
        <v>2382</v>
      </c>
      <c r="M57" s="3609"/>
    </row>
    <row r="58" spans="1:13" ht="15" customHeight="1">
      <c r="A58" s="2570"/>
      <c r="B58" s="1016"/>
      <c r="C58" s="996">
        <f>SUMIF(C33:C51, "0", H33:H51)</f>
        <v>0</v>
      </c>
      <c r="D58" s="1089">
        <f t="shared" ref="D58:D63" si="4">ROUNDUP(C58*1.1,0)</f>
        <v>0</v>
      </c>
      <c r="E58" s="3575" t="s">
        <v>2383</v>
      </c>
      <c r="F58" s="3576"/>
      <c r="G58" s="3558" t="e">
        <f>#REF!</f>
        <v>#REF!</v>
      </c>
      <c r="H58" s="3559"/>
      <c r="I58" s="3577" t="e">
        <f t="shared" ref="I58:I63" si="5">D58*G58</f>
        <v>#REF!</v>
      </c>
      <c r="J58" s="3577"/>
      <c r="K58" s="4601"/>
      <c r="L58" s="3610"/>
      <c r="M58" s="3609"/>
    </row>
    <row r="59" spans="1:13">
      <c r="A59" s="2570"/>
      <c r="B59" s="1016"/>
      <c r="C59" s="997">
        <f>SUMIF(C33:C51, "1", H33:H51)</f>
        <v>0</v>
      </c>
      <c r="D59" s="1090">
        <f t="shared" si="4"/>
        <v>0</v>
      </c>
      <c r="E59" s="3556" t="s">
        <v>2384</v>
      </c>
      <c r="F59" s="3557"/>
      <c r="G59" s="3558" t="e">
        <f>#REF!</f>
        <v>#REF!</v>
      </c>
      <c r="H59" s="3559"/>
      <c r="I59" s="3560" t="e">
        <f t="shared" si="5"/>
        <v>#REF!</v>
      </c>
      <c r="J59" s="3560"/>
      <c r="K59" s="4601"/>
      <c r="L59" s="3610"/>
      <c r="M59" s="3609"/>
    </row>
    <row r="60" spans="1:13" ht="15" customHeight="1">
      <c r="A60" s="2570"/>
      <c r="B60" s="1016"/>
      <c r="C60" s="997">
        <f>SUMIF(C33:C51, "2", H33:H51)</f>
        <v>0</v>
      </c>
      <c r="D60" s="1090">
        <f t="shared" si="4"/>
        <v>0</v>
      </c>
      <c r="E60" s="3556" t="s">
        <v>2385</v>
      </c>
      <c r="F60" s="3557"/>
      <c r="G60" s="3558" t="e">
        <f>#REF!</f>
        <v>#REF!</v>
      </c>
      <c r="H60" s="3559"/>
      <c r="I60" s="3560" t="e">
        <f t="shared" si="5"/>
        <v>#REF!</v>
      </c>
      <c r="J60" s="3560"/>
      <c r="K60" s="4601"/>
      <c r="L60" s="3610"/>
      <c r="M60" s="3609"/>
    </row>
    <row r="61" spans="1:13">
      <c r="A61" s="2570"/>
      <c r="B61" s="1016"/>
      <c r="C61" s="997">
        <f>SUMIF(C33:C51, "3", H33:H51)</f>
        <v>0</v>
      </c>
      <c r="D61" s="1090">
        <f t="shared" si="4"/>
        <v>0</v>
      </c>
      <c r="E61" s="3556" t="s">
        <v>2386</v>
      </c>
      <c r="F61" s="3557"/>
      <c r="G61" s="3558" t="e">
        <f>#REF!</f>
        <v>#REF!</v>
      </c>
      <c r="H61" s="3559"/>
      <c r="I61" s="3560" t="e">
        <f t="shared" si="5"/>
        <v>#REF!</v>
      </c>
      <c r="J61" s="3560"/>
      <c r="K61" s="4601"/>
      <c r="L61" s="3610"/>
      <c r="M61" s="3609"/>
    </row>
    <row r="62" spans="1:13">
      <c r="A62" s="2570"/>
      <c r="B62" s="1016"/>
      <c r="C62" s="997">
        <f>SUMIF(C33:C51, "4", H33:H51)</f>
        <v>0</v>
      </c>
      <c r="D62" s="1090">
        <f t="shared" si="4"/>
        <v>0</v>
      </c>
      <c r="E62" s="3556" t="s">
        <v>2387</v>
      </c>
      <c r="F62" s="3557"/>
      <c r="G62" s="3558" t="e">
        <f>#REF!</f>
        <v>#REF!</v>
      </c>
      <c r="H62" s="3559"/>
      <c r="I62" s="3560" t="e">
        <f t="shared" si="5"/>
        <v>#REF!</v>
      </c>
      <c r="J62" s="3560"/>
      <c r="K62" s="4601"/>
      <c r="L62" s="3610"/>
      <c r="M62" s="3609"/>
    </row>
    <row r="63" spans="1:13">
      <c r="A63" s="1087"/>
      <c r="B63" s="1017"/>
      <c r="C63" s="998">
        <f>SUMIF(C33:C51, "5", H33:H51)</f>
        <v>0</v>
      </c>
      <c r="D63" s="1091">
        <f t="shared" si="4"/>
        <v>0</v>
      </c>
      <c r="E63" s="3561" t="s">
        <v>2388</v>
      </c>
      <c r="F63" s="3562"/>
      <c r="G63" s="3558" t="e">
        <f>#REF!</f>
        <v>#REF!</v>
      </c>
      <c r="H63" s="3559"/>
      <c r="I63" s="3563" t="e">
        <f t="shared" si="5"/>
        <v>#REF!</v>
      </c>
      <c r="J63" s="3563"/>
      <c r="K63" s="1019"/>
      <c r="L63" s="3610"/>
      <c r="M63" s="3609"/>
    </row>
    <row r="64" spans="1:13" ht="15" thickBot="1">
      <c r="A64" s="1086" t="s">
        <v>2389</v>
      </c>
      <c r="B64" s="1012">
        <f>SUM(C58:C63)</f>
        <v>0</v>
      </c>
      <c r="C64" s="1092"/>
      <c r="D64" s="1092">
        <f>SUM(D58:D63)</f>
        <v>0</v>
      </c>
      <c r="E64" s="1085"/>
      <c r="F64" s="1085"/>
      <c r="G64" s="1085"/>
      <c r="H64" s="1085"/>
      <c r="I64" s="1085"/>
      <c r="J64" s="1079" t="s">
        <v>2390</v>
      </c>
      <c r="K64" s="1011" t="e">
        <f>SUM(I58:I62)</f>
        <v>#REF!</v>
      </c>
    </row>
    <row r="65" spans="1:11">
      <c r="A65" s="3564"/>
      <c r="B65" s="3564"/>
      <c r="C65" s="3564"/>
      <c r="D65" s="3564"/>
      <c r="E65" s="3564"/>
      <c r="F65" s="3564"/>
      <c r="G65" s="3564"/>
      <c r="H65" s="3564"/>
      <c r="I65" s="3564"/>
      <c r="J65" s="3564"/>
    </row>
    <row r="66" spans="1:11">
      <c r="A66" s="3565" t="s">
        <v>2391</v>
      </c>
      <c r="B66" s="3566"/>
      <c r="C66" s="3566"/>
      <c r="D66" s="3566"/>
      <c r="E66" s="3566"/>
      <c r="F66" s="3566"/>
      <c r="G66" s="3566"/>
      <c r="H66" s="3566"/>
      <c r="I66" s="3566"/>
      <c r="J66" s="3566"/>
      <c r="K66" s="3567"/>
    </row>
    <row r="67" spans="1:11" ht="15" customHeight="1">
      <c r="A67" s="1013"/>
      <c r="B67" s="4602"/>
      <c r="C67" s="4602"/>
      <c r="D67" s="4602"/>
      <c r="E67" s="4602" t="s">
        <v>2392</v>
      </c>
      <c r="F67" s="4602"/>
      <c r="G67" s="4602"/>
      <c r="H67" s="4602"/>
      <c r="I67" s="4602"/>
      <c r="J67" s="4599"/>
      <c r="K67" s="987">
        <f>J11</f>
        <v>0</v>
      </c>
    </row>
    <row r="68" spans="1:11">
      <c r="A68" s="1014"/>
      <c r="E68" s="972" t="s">
        <v>2393</v>
      </c>
      <c r="J68" s="1016"/>
      <c r="K68" s="987" t="e">
        <f>K54</f>
        <v>#VALUE!</v>
      </c>
    </row>
    <row r="69" spans="1:11" ht="15" thickBot="1">
      <c r="A69" s="1015"/>
      <c r="B69" s="981"/>
      <c r="C69" s="981"/>
      <c r="D69" s="981"/>
      <c r="E69" s="981" t="s">
        <v>2394</v>
      </c>
      <c r="F69" s="981"/>
      <c r="G69" s="981"/>
      <c r="H69" s="981"/>
      <c r="I69" s="981"/>
      <c r="J69" s="1017"/>
      <c r="K69" s="1020" t="e">
        <f>K64</f>
        <v>#REF!</v>
      </c>
    </row>
    <row r="70" spans="1:11" ht="15" thickBot="1">
      <c r="A70" s="989"/>
      <c r="B70" s="982"/>
      <c r="C70" s="3555" t="s">
        <v>2395</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95"/>
  <cols>
    <col min="1" max="1" width="5.28515625" style="12" customWidth="1"/>
    <col min="2" max="2" width="2.42578125" style="12" customWidth="1"/>
    <col min="3" max="3" width="2.28515625" style="12" customWidth="1"/>
    <col min="4" max="10" width="8.7109375" style="12" customWidth="1"/>
    <col min="11" max="11" width="7.42578125" style="12" customWidth="1"/>
    <col min="12" max="15" width="9.28515625" style="12" customWidth="1"/>
    <col min="16" max="16" width="8.7109375" style="12" customWidth="1"/>
    <col min="17" max="17" width="9.28515625" style="12" customWidth="1"/>
    <col min="18" max="16384" width="9.28515625" style="12"/>
  </cols>
  <sheetData>
    <row r="1" spans="1:19" ht="14.25"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2396</v>
      </c>
      <c r="Q3" s="3758" t="s">
        <v>1411</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3"/>
      <c r="L5" s="1371" t="s">
        <v>2397</v>
      </c>
      <c r="M5" s="1372" t="e">
        <f>#REF!</f>
        <v>#REF!</v>
      </c>
      <c r="N5" s="1373"/>
      <c r="O5" s="4604"/>
      <c r="P5" s="3718"/>
      <c r="Q5" s="3760"/>
      <c r="R5" s="1189"/>
      <c r="S5" s="1189"/>
    </row>
    <row r="6" spans="1:19" ht="17.25" customHeight="1">
      <c r="A6" s="61" t="s">
        <v>2398</v>
      </c>
      <c r="B6" s="77"/>
      <c r="C6" s="77"/>
      <c r="D6" s="77"/>
      <c r="E6" s="77"/>
      <c r="F6" s="77"/>
      <c r="G6" s="77"/>
      <c r="H6" s="77"/>
      <c r="I6" s="356"/>
      <c r="J6" s="356"/>
      <c r="K6" s="4605" t="s">
        <v>2399</v>
      </c>
      <c r="L6" s="4605"/>
      <c r="M6" s="4605"/>
      <c r="N6" s="4605"/>
      <c r="O6" s="4606"/>
      <c r="P6" s="4607"/>
      <c r="Q6" s="4608"/>
      <c r="R6" s="1189"/>
      <c r="S6" s="1189"/>
    </row>
    <row r="7" spans="1:19" ht="12.75" customHeight="1">
      <c r="A7" s="62" t="s">
        <v>1414</v>
      </c>
      <c r="B7" s="77"/>
      <c r="C7" s="77"/>
      <c r="D7" s="77"/>
      <c r="E7" s="77"/>
      <c r="F7" s="77"/>
      <c r="G7" s="77"/>
      <c r="H7" s="756"/>
      <c r="I7" s="1369"/>
      <c r="J7" s="1369"/>
      <c r="K7" s="756"/>
      <c r="L7" s="756"/>
      <c r="M7" s="518"/>
      <c r="N7" s="518"/>
      <c r="O7" s="77"/>
      <c r="P7" s="77"/>
      <c r="Q7" s="77"/>
      <c r="R7" s="77"/>
      <c r="S7" s="77"/>
    </row>
    <row r="8" spans="1:19" ht="23.25" customHeight="1">
      <c r="A8" s="4609" t="s">
        <v>1415</v>
      </c>
      <c r="B8" s="4610"/>
      <c r="C8" s="4610"/>
      <c r="D8" s="4610"/>
      <c r="E8" s="4610"/>
      <c r="F8" s="4610"/>
      <c r="G8" s="4610"/>
      <c r="H8" s="4610"/>
      <c r="I8" s="4610"/>
      <c r="J8" s="4610"/>
      <c r="K8" s="4610"/>
      <c r="L8" s="4610"/>
      <c r="M8" s="4610"/>
      <c r="N8" s="4610"/>
      <c r="O8" s="4610"/>
      <c r="P8" s="4610"/>
      <c r="Q8" s="4611"/>
      <c r="R8" s="2643" t="s">
        <v>263</v>
      </c>
      <c r="S8" s="2639"/>
    </row>
    <row r="9" spans="1:19" ht="23.25" customHeight="1">
      <c r="A9" s="3704" t="s">
        <v>1416</v>
      </c>
      <c r="B9" s="3705"/>
      <c r="C9" s="3705"/>
      <c r="D9" s="3705"/>
      <c r="E9" s="3705"/>
      <c r="F9" s="3705"/>
      <c r="G9" s="3705"/>
      <c r="H9" s="3705"/>
      <c r="I9" s="3705"/>
      <c r="J9" s="3705"/>
      <c r="K9" s="3705"/>
      <c r="L9" s="3705"/>
      <c r="M9" s="3705"/>
      <c r="N9" s="3705"/>
      <c r="O9" s="3705"/>
      <c r="P9" s="3705"/>
      <c r="Q9" s="3706"/>
      <c r="R9" s="2643"/>
      <c r="S9" s="2639"/>
    </row>
    <row r="10" spans="1:19" ht="23.25" customHeight="1">
      <c r="A10" s="3704" t="s">
        <v>1417</v>
      </c>
      <c r="B10" s="3705"/>
      <c r="C10" s="3705"/>
      <c r="D10" s="3705"/>
      <c r="E10" s="3705"/>
      <c r="F10" s="3705"/>
      <c r="G10" s="3705"/>
      <c r="H10" s="3705"/>
      <c r="I10" s="3705"/>
      <c r="J10" s="3705"/>
      <c r="K10" s="3705"/>
      <c r="L10" s="3705"/>
      <c r="M10" s="3705"/>
      <c r="N10" s="3705"/>
      <c r="O10" s="3705"/>
      <c r="P10" s="3705"/>
      <c r="Q10" s="3706"/>
      <c r="R10" s="2643"/>
      <c r="S10" s="2639"/>
    </row>
    <row r="11" spans="1:19" ht="23.25" customHeight="1">
      <c r="A11" s="3704" t="s">
        <v>1418</v>
      </c>
      <c r="B11" s="3705"/>
      <c r="C11" s="3705"/>
      <c r="D11" s="3705"/>
      <c r="E11" s="3705"/>
      <c r="F11" s="3705"/>
      <c r="G11" s="3705"/>
      <c r="H11" s="3705"/>
      <c r="I11" s="3705"/>
      <c r="J11" s="3705"/>
      <c r="K11" s="3705"/>
      <c r="L11" s="3705"/>
      <c r="M11" s="3705"/>
      <c r="N11" s="3705"/>
      <c r="O11" s="3705"/>
      <c r="P11" s="3705"/>
      <c r="Q11" s="3706"/>
      <c r="R11" s="2643"/>
      <c r="S11" s="2639"/>
    </row>
    <row r="12" spans="1:19" ht="23.25" customHeight="1">
      <c r="A12" s="3704" t="s">
        <v>1419</v>
      </c>
      <c r="B12" s="3705"/>
      <c r="C12" s="3705"/>
      <c r="D12" s="3705"/>
      <c r="E12" s="3705"/>
      <c r="F12" s="3705"/>
      <c r="G12" s="3705"/>
      <c r="H12" s="3705"/>
      <c r="I12" s="3705"/>
      <c r="J12" s="3705"/>
      <c r="K12" s="3705"/>
      <c r="L12" s="3705"/>
      <c r="M12" s="3705"/>
      <c r="N12" s="3705"/>
      <c r="O12" s="3705"/>
      <c r="P12" s="3705"/>
      <c r="Q12" s="3706"/>
      <c r="R12" s="2507"/>
      <c r="S12" s="2507"/>
    </row>
    <row r="13" spans="1:19" ht="23.25" customHeight="1">
      <c r="A13" s="3704" t="s">
        <v>1420</v>
      </c>
      <c r="B13" s="3705"/>
      <c r="C13" s="3705"/>
      <c r="D13" s="3705"/>
      <c r="E13" s="3705"/>
      <c r="F13" s="3705"/>
      <c r="G13" s="3705"/>
      <c r="H13" s="3705"/>
      <c r="I13" s="3705"/>
      <c r="J13" s="3705"/>
      <c r="K13" s="3705"/>
      <c r="L13" s="3705"/>
      <c r="M13" s="3705"/>
      <c r="N13" s="3705"/>
      <c r="O13" s="3705"/>
      <c r="P13" s="3705"/>
      <c r="Q13" s="3706"/>
      <c r="R13" s="2507"/>
      <c r="S13" s="2507"/>
    </row>
    <row r="14" spans="1:19" ht="23.25" customHeight="1">
      <c r="A14" s="3704" t="s">
        <v>1421</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1422</v>
      </c>
      <c r="B15" s="3705"/>
      <c r="C15" s="3705"/>
      <c r="D15" s="3705"/>
      <c r="E15" s="3705"/>
      <c r="F15" s="3705"/>
      <c r="G15" s="3705"/>
      <c r="H15" s="3705"/>
      <c r="I15" s="3705"/>
      <c r="J15" s="3705"/>
      <c r="K15" s="3705"/>
      <c r="L15" s="3705"/>
      <c r="M15" s="3705"/>
      <c r="N15" s="3705"/>
      <c r="O15" s="3705"/>
      <c r="P15" s="3705"/>
      <c r="Q15" s="3706"/>
      <c r="R15" s="2643"/>
      <c r="S15" s="2639"/>
    </row>
    <row r="16" spans="1:19" ht="11.25" customHeight="1">
      <c r="A16" s="3704" t="s">
        <v>1423</v>
      </c>
      <c r="B16" s="3705"/>
      <c r="C16" s="3705"/>
      <c r="D16" s="3705"/>
      <c r="E16" s="3705"/>
      <c r="F16" s="3705"/>
      <c r="G16" s="3705"/>
      <c r="H16" s="3705"/>
      <c r="I16" s="3705"/>
      <c r="J16" s="3705"/>
      <c r="K16" s="3705"/>
      <c r="L16" s="3705"/>
      <c r="M16" s="3705"/>
      <c r="N16" s="3705"/>
      <c r="O16" s="3705"/>
      <c r="P16" s="3705"/>
      <c r="Q16" s="3706"/>
      <c r="R16" s="2643"/>
      <c r="S16" s="2639"/>
    </row>
    <row r="17" spans="1:31" ht="11.25" customHeight="1">
      <c r="A17" s="3704" t="s">
        <v>1424</v>
      </c>
      <c r="B17" s="3705"/>
      <c r="C17" s="3705"/>
      <c r="D17" s="3705"/>
      <c r="E17" s="3705"/>
      <c r="F17" s="3705"/>
      <c r="G17" s="3705"/>
      <c r="H17" s="3705"/>
      <c r="I17" s="3705"/>
      <c r="J17" s="3705"/>
      <c r="K17" s="3705"/>
      <c r="L17" s="3705"/>
      <c r="M17" s="3705"/>
      <c r="N17" s="3705"/>
      <c r="O17" s="3705"/>
      <c r="P17" s="3705"/>
      <c r="Q17" s="3706"/>
      <c r="R17" s="2643"/>
      <c r="S17" s="2639"/>
      <c r="T17" s="77"/>
      <c r="U17" s="77"/>
      <c r="V17" s="77"/>
      <c r="W17" s="77"/>
      <c r="X17" s="77"/>
      <c r="Y17" s="77"/>
      <c r="Z17" s="77"/>
      <c r="AA17" s="77"/>
      <c r="AB17" s="77"/>
      <c r="AC17" s="77"/>
      <c r="AD17" s="77"/>
      <c r="AE17" s="77"/>
    </row>
    <row r="18" spans="1:31" ht="11.25" customHeight="1">
      <c r="A18" s="3704" t="s">
        <v>1425</v>
      </c>
      <c r="B18" s="3705"/>
      <c r="C18" s="3705"/>
      <c r="D18" s="3705"/>
      <c r="E18" s="3705"/>
      <c r="F18" s="3705"/>
      <c r="G18" s="3705"/>
      <c r="H18" s="3705"/>
      <c r="I18" s="3705"/>
      <c r="J18" s="3705"/>
      <c r="K18" s="3705"/>
      <c r="L18" s="3705"/>
      <c r="M18" s="3705"/>
      <c r="N18" s="3705"/>
      <c r="O18" s="3705"/>
      <c r="P18" s="3705"/>
      <c r="Q18" s="3706"/>
      <c r="R18" s="2643"/>
      <c r="S18" s="2639"/>
      <c r="T18" s="77"/>
      <c r="U18" s="77"/>
      <c r="V18" s="77"/>
      <c r="W18" s="77"/>
      <c r="X18" s="77"/>
      <c r="Y18" s="77"/>
      <c r="Z18" s="77"/>
      <c r="AA18" s="77"/>
      <c r="AB18" s="77"/>
      <c r="AC18" s="77"/>
      <c r="AD18" s="77"/>
      <c r="AE18" s="77"/>
    </row>
    <row r="19" spans="1:31" ht="11.25" customHeight="1">
      <c r="A19" s="3704" t="s">
        <v>1426</v>
      </c>
      <c r="B19" s="3705"/>
      <c r="C19" s="3705"/>
      <c r="D19" s="3705"/>
      <c r="E19" s="3705"/>
      <c r="F19" s="3705"/>
      <c r="G19" s="3705"/>
      <c r="H19" s="3705"/>
      <c r="I19" s="3705"/>
      <c r="J19" s="3705"/>
      <c r="K19" s="3705"/>
      <c r="L19" s="3705"/>
      <c r="M19" s="3705"/>
      <c r="N19" s="3705"/>
      <c r="O19" s="3705"/>
      <c r="P19" s="3705"/>
      <c r="Q19" s="3706"/>
      <c r="R19" s="2643"/>
      <c r="S19" s="2639"/>
      <c r="T19" s="77"/>
      <c r="U19" s="77"/>
      <c r="V19" s="77"/>
      <c r="W19" s="77"/>
      <c r="X19" s="77"/>
      <c r="Y19" s="77"/>
      <c r="Z19" s="77"/>
      <c r="AA19" s="77"/>
      <c r="AB19" s="77"/>
      <c r="AC19" s="77"/>
      <c r="AD19" s="77"/>
      <c r="AE19" s="77"/>
    </row>
    <row r="20" spans="1:31" ht="11.25" customHeight="1">
      <c r="A20" s="3704" t="s">
        <v>1427</v>
      </c>
      <c r="B20" s="3705"/>
      <c r="C20" s="3705"/>
      <c r="D20" s="3705"/>
      <c r="E20" s="3705"/>
      <c r="F20" s="3705"/>
      <c r="G20" s="3705"/>
      <c r="H20" s="3705"/>
      <c r="I20" s="3705"/>
      <c r="J20" s="3705"/>
      <c r="K20" s="3705"/>
      <c r="L20" s="3705"/>
      <c r="M20" s="3705"/>
      <c r="N20" s="3705"/>
      <c r="O20" s="3705"/>
      <c r="P20" s="3705"/>
      <c r="Q20" s="3706"/>
      <c r="R20" s="2643"/>
      <c r="S20" s="2639"/>
      <c r="T20" s="77"/>
      <c r="U20" s="77"/>
      <c r="V20" s="77"/>
      <c r="W20" s="77"/>
      <c r="X20" s="77"/>
      <c r="Y20" s="77"/>
      <c r="Z20" s="77"/>
      <c r="AA20" s="77"/>
      <c r="AB20" s="77"/>
      <c r="AC20" s="77"/>
      <c r="AD20" s="77"/>
      <c r="AE20" s="77"/>
    </row>
    <row r="21" spans="1:31" ht="11.25" customHeight="1">
      <c r="A21" s="3704" t="s">
        <v>1428</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1429</v>
      </c>
      <c r="B22" s="3705"/>
      <c r="C22" s="3705"/>
      <c r="D22" s="3705"/>
      <c r="E22" s="3705"/>
      <c r="F22" s="3705"/>
      <c r="G22" s="3705"/>
      <c r="H22" s="3705"/>
      <c r="I22" s="3705"/>
      <c r="J22" s="3705"/>
      <c r="K22" s="3705"/>
      <c r="L22" s="3705"/>
      <c r="M22" s="3705"/>
      <c r="N22" s="3705"/>
      <c r="O22" s="3705"/>
      <c r="P22" s="3705"/>
      <c r="Q22" s="3706"/>
      <c r="R22" s="2643"/>
      <c r="S22" s="2639"/>
      <c r="T22" s="77"/>
      <c r="U22" s="77"/>
      <c r="V22" s="77"/>
      <c r="W22" s="77"/>
      <c r="X22" s="77"/>
      <c r="Y22" s="77"/>
      <c r="Z22" s="77"/>
      <c r="AA22" s="77"/>
      <c r="AB22" s="77"/>
      <c r="AC22" s="77"/>
      <c r="AD22" s="77"/>
      <c r="AE22" s="77"/>
    </row>
    <row r="23" spans="1:31" ht="11.25" customHeight="1">
      <c r="A23" s="3704" t="s">
        <v>1430</v>
      </c>
      <c r="B23" s="3705"/>
      <c r="C23" s="3705"/>
      <c r="D23" s="3705"/>
      <c r="E23" s="3705"/>
      <c r="F23" s="3705"/>
      <c r="G23" s="3705"/>
      <c r="H23" s="3705"/>
      <c r="I23" s="3705"/>
      <c r="J23" s="3705"/>
      <c r="K23" s="3705"/>
      <c r="L23" s="3705"/>
      <c r="M23" s="3705"/>
      <c r="N23" s="3705"/>
      <c r="O23" s="3705"/>
      <c r="P23" s="3705"/>
      <c r="Q23" s="3706"/>
      <c r="R23" s="2643"/>
      <c r="S23" s="2639"/>
      <c r="T23" s="77"/>
      <c r="U23" s="77"/>
      <c r="V23" s="77"/>
      <c r="W23" s="77"/>
      <c r="X23" s="77"/>
      <c r="Y23" s="77"/>
      <c r="Z23" s="77"/>
      <c r="AA23" s="77"/>
      <c r="AB23" s="77"/>
      <c r="AC23" s="77"/>
      <c r="AD23" s="77"/>
      <c r="AE23" s="77"/>
    </row>
    <row r="24" spans="1:31" ht="11.25" customHeight="1">
      <c r="A24" s="3704" t="s">
        <v>1431</v>
      </c>
      <c r="B24" s="3705"/>
      <c r="C24" s="3705"/>
      <c r="D24" s="3705"/>
      <c r="E24" s="3705"/>
      <c r="F24" s="3705"/>
      <c r="G24" s="3705"/>
      <c r="H24" s="3705"/>
      <c r="I24" s="3705"/>
      <c r="J24" s="3705"/>
      <c r="K24" s="3705"/>
      <c r="L24" s="3705"/>
      <c r="M24" s="3705"/>
      <c r="N24" s="3705"/>
      <c r="O24" s="3705"/>
      <c r="P24" s="3705"/>
      <c r="Q24" s="3706"/>
      <c r="R24" s="2643"/>
      <c r="S24" s="2639"/>
      <c r="T24" s="77"/>
      <c r="U24" s="77"/>
      <c r="V24" s="77"/>
      <c r="W24" s="77"/>
      <c r="X24" s="77"/>
      <c r="Y24" s="77"/>
      <c r="Z24" s="77"/>
      <c r="AA24" s="77"/>
      <c r="AB24" s="77"/>
      <c r="AC24" s="77"/>
      <c r="AD24" s="77"/>
      <c r="AE24" s="77"/>
    </row>
    <row r="25" spans="1:31" ht="11.25" customHeight="1">
      <c r="A25" s="3707" t="s">
        <v>1432</v>
      </c>
      <c r="B25" s="3708"/>
      <c r="C25" s="3708"/>
      <c r="D25" s="3708"/>
      <c r="E25" s="3708"/>
      <c r="F25" s="3708"/>
      <c r="G25" s="3708"/>
      <c r="H25" s="3708"/>
      <c r="I25" s="3708"/>
      <c r="J25" s="3708"/>
      <c r="K25" s="3708"/>
      <c r="L25" s="3708"/>
      <c r="M25" s="3708"/>
      <c r="N25" s="3708"/>
      <c r="O25" s="3708"/>
      <c r="P25" s="3708"/>
      <c r="Q25" s="3709"/>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25" customHeight="1">
      <c r="A27" s="63" t="s">
        <v>25</v>
      </c>
      <c r="B27" s="64" t="s">
        <v>1433</v>
      </c>
      <c r="C27" s="65"/>
      <c r="D27" s="38"/>
      <c r="E27" s="38"/>
      <c r="F27" s="38"/>
      <c r="G27" s="38"/>
      <c r="H27" s="77"/>
      <c r="I27" s="2585"/>
      <c r="J27" s="2585"/>
      <c r="K27" s="2585"/>
      <c r="L27" s="518"/>
      <c r="M27" s="518"/>
      <c r="N27" s="77"/>
      <c r="O27" s="66" t="s">
        <v>1434</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1440</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2400</v>
      </c>
      <c r="S30" s="249"/>
      <c r="T30" s="82"/>
      <c r="U30" s="69"/>
      <c r="V30" s="69"/>
      <c r="W30" s="69"/>
      <c r="X30" s="69"/>
      <c r="Y30" s="69"/>
      <c r="Z30" s="69"/>
      <c r="AA30" s="69"/>
      <c r="AB30" s="69"/>
      <c r="AC30" s="69"/>
      <c r="AD30" s="69"/>
      <c r="AE30" s="69"/>
    </row>
    <row r="31" spans="1:31" ht="11.25" customHeight="1">
      <c r="A31" s="77"/>
      <c r="B31" s="70" t="s">
        <v>1437</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2400</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1438</v>
      </c>
      <c r="C34" s="3"/>
      <c r="D34" s="3"/>
      <c r="E34" s="2574"/>
      <c r="F34" s="2574"/>
      <c r="G34" s="1243"/>
      <c r="H34" s="77"/>
      <c r="I34" s="77"/>
      <c r="J34" s="77"/>
      <c r="K34" s="77"/>
      <c r="L34" s="77"/>
      <c r="M34" s="77"/>
      <c r="N34" s="77"/>
      <c r="O34" s="66" t="s">
        <v>1434</v>
      </c>
      <c r="P34" s="3646"/>
      <c r="Q34" s="3647"/>
      <c r="R34" s="77"/>
      <c r="S34" s="77"/>
      <c r="T34" s="77"/>
      <c r="U34" s="77"/>
      <c r="V34" s="77"/>
      <c r="W34" s="77"/>
      <c r="X34" s="77"/>
      <c r="Y34" s="77"/>
      <c r="Z34" s="77"/>
      <c r="AA34" s="77"/>
      <c r="AB34" s="77"/>
      <c r="AC34" s="77"/>
      <c r="AD34" s="77"/>
      <c r="AE34" s="77"/>
    </row>
    <row r="35" spans="1:31" ht="12.75" customHeight="1">
      <c r="A35" s="2540"/>
      <c r="B35" s="73" t="s">
        <v>2401</v>
      </c>
      <c r="C35" s="3"/>
      <c r="D35" s="3"/>
      <c r="E35" s="2574"/>
      <c r="F35" s="2574"/>
      <c r="G35" s="77"/>
      <c r="H35" s="2574"/>
      <c r="I35" s="77"/>
      <c r="J35" s="2686" t="s">
        <v>2402</v>
      </c>
      <c r="K35" s="2687"/>
      <c r="L35" s="2688"/>
      <c r="M35" s="98" t="s">
        <v>2403</v>
      </c>
      <c r="N35" s="3634"/>
      <c r="O35" s="3635"/>
      <c r="P35" s="3635"/>
      <c r="Q35" s="3636"/>
      <c r="R35" s="77"/>
      <c r="S35" s="77"/>
      <c r="T35" s="77"/>
      <c r="U35" s="77"/>
      <c r="V35" s="77"/>
      <c r="W35" s="77"/>
      <c r="X35" s="77"/>
      <c r="Y35" s="77"/>
      <c r="Z35" s="77"/>
      <c r="AA35" s="77"/>
      <c r="AB35" s="77"/>
      <c r="AC35" s="77"/>
      <c r="AD35" s="77"/>
      <c r="AE35" s="77"/>
    </row>
    <row r="36" spans="1:31" ht="12.75" customHeight="1">
      <c r="A36" s="2540"/>
      <c r="B36" s="73" t="s">
        <v>2404</v>
      </c>
      <c r="C36" s="3"/>
      <c r="D36" s="3"/>
      <c r="E36" s="2574"/>
      <c r="F36" s="2574"/>
      <c r="G36" s="1243"/>
      <c r="H36" s="2574"/>
      <c r="I36" s="77"/>
      <c r="J36" s="2686" t="s">
        <v>2405</v>
      </c>
      <c r="K36" s="2687"/>
      <c r="L36" s="2688"/>
      <c r="M36" s="98" t="s">
        <v>2403</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1440</v>
      </c>
      <c r="C37" s="77"/>
      <c r="D37" s="44"/>
      <c r="E37" s="44"/>
      <c r="F37" s="44"/>
      <c r="G37" s="44"/>
      <c r="H37" s="16"/>
      <c r="I37" s="2585"/>
      <c r="J37" s="2585"/>
      <c r="K37" s="1338" t="s">
        <v>1437</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2400</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52</v>
      </c>
      <c r="B40" s="2540" t="s">
        <v>2406</v>
      </c>
      <c r="C40" s="56"/>
      <c r="D40" s="2574"/>
      <c r="E40" s="2574"/>
      <c r="F40" s="2574"/>
      <c r="G40" s="2574"/>
      <c r="H40" s="2574"/>
      <c r="I40" s="2574"/>
      <c r="J40" s="2574"/>
      <c r="K40" s="77"/>
      <c r="L40" s="963" t="s">
        <v>2407</v>
      </c>
      <c r="M40" s="964" t="s">
        <v>2408</v>
      </c>
      <c r="N40" s="77"/>
      <c r="O40" s="66" t="s">
        <v>1434</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199</v>
      </c>
      <c r="B42" s="3637" t="s">
        <v>2409</v>
      </c>
      <c r="C42" s="3637"/>
      <c r="D42" s="3637"/>
      <c r="E42" s="3637"/>
      <c r="F42" s="3637"/>
      <c r="G42" s="3637"/>
      <c r="H42" s="3637"/>
      <c r="I42" s="3637"/>
      <c r="J42" s="3637"/>
      <c r="K42" s="77"/>
      <c r="L42" s="241" t="s">
        <v>2410</v>
      </c>
      <c r="M42" s="2602">
        <v>2</v>
      </c>
      <c r="N42" s="73" t="s">
        <v>2411</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2412</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2413</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211</v>
      </c>
      <c r="B45" s="73" t="s">
        <v>2414</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1509</v>
      </c>
      <c r="C46" s="73" t="s">
        <v>2415</v>
      </c>
      <c r="D46" s="855"/>
      <c r="E46" s="855"/>
      <c r="F46" s="855"/>
      <c r="G46" s="855"/>
      <c r="H46" s="855"/>
      <c r="I46" s="855"/>
      <c r="J46" s="855"/>
      <c r="K46" s="854"/>
      <c r="L46" s="73"/>
      <c r="M46" s="77"/>
      <c r="N46" s="73" t="s">
        <v>2416</v>
      </c>
      <c r="O46" s="541"/>
      <c r="P46" s="937"/>
      <c r="Q46" s="938"/>
      <c r="R46" s="77"/>
      <c r="S46" s="77"/>
      <c r="T46" s="77"/>
      <c r="U46" s="77"/>
      <c r="V46" s="77"/>
      <c r="W46" s="77"/>
      <c r="X46" s="77"/>
      <c r="Y46" s="77"/>
      <c r="Z46" s="77"/>
      <c r="AA46" s="77"/>
      <c r="AB46" s="77"/>
      <c r="AC46" s="77"/>
      <c r="AD46" s="77"/>
      <c r="AE46" s="77"/>
    </row>
    <row r="47" spans="1:31" ht="12.75" customHeight="1">
      <c r="A47" s="288"/>
      <c r="B47" s="266" t="s">
        <v>1512</v>
      </c>
      <c r="C47" s="73" t="s">
        <v>2417</v>
      </c>
      <c r="D47" s="855"/>
      <c r="E47" s="855"/>
      <c r="F47" s="855"/>
      <c r="G47" s="855"/>
      <c r="H47" s="855"/>
      <c r="I47" s="855"/>
      <c r="J47" s="855"/>
      <c r="K47" s="854"/>
      <c r="L47" s="73"/>
      <c r="M47" s="77"/>
      <c r="N47" s="73" t="s">
        <v>2418</v>
      </c>
      <c r="O47" s="541"/>
      <c r="P47" s="202"/>
      <c r="Q47" s="307"/>
      <c r="R47" s="77"/>
      <c r="S47" s="77"/>
      <c r="T47" s="77"/>
      <c r="U47" s="77"/>
      <c r="V47" s="77"/>
      <c r="W47" s="77"/>
      <c r="X47" s="77"/>
      <c r="Y47" s="77"/>
      <c r="Z47" s="77"/>
      <c r="AA47" s="77"/>
      <c r="AB47" s="77"/>
      <c r="AC47" s="77"/>
      <c r="AD47" s="77"/>
      <c r="AE47" s="77"/>
    </row>
    <row r="48" spans="1:31" ht="12.75" customHeight="1">
      <c r="A48" s="853"/>
      <c r="B48" s="266" t="s">
        <v>1514</v>
      </c>
      <c r="C48" s="73" t="s">
        <v>2419</v>
      </c>
      <c r="D48" s="77"/>
      <c r="E48" s="855"/>
      <c r="F48" s="855"/>
      <c r="G48" s="855"/>
      <c r="H48" s="855"/>
      <c r="I48" s="855"/>
      <c r="J48" s="855"/>
      <c r="K48" s="854"/>
      <c r="L48" s="73"/>
      <c r="M48" s="541"/>
      <c r="N48" s="73" t="s">
        <v>2420</v>
      </c>
      <c r="O48" s="541"/>
      <c r="P48" s="202"/>
      <c r="Q48" s="307"/>
      <c r="R48" s="77"/>
      <c r="S48" s="77"/>
      <c r="T48" s="77"/>
      <c r="U48" s="77"/>
      <c r="V48" s="77"/>
      <c r="W48" s="77"/>
      <c r="X48" s="77"/>
      <c r="Y48" s="77"/>
      <c r="Z48" s="77"/>
      <c r="AA48" s="77"/>
      <c r="AB48" s="77"/>
      <c r="AC48" s="77"/>
      <c r="AD48" s="77"/>
      <c r="AE48" s="77"/>
    </row>
    <row r="49" spans="1:31" ht="12.75" customHeight="1">
      <c r="A49" s="76"/>
      <c r="B49" s="266" t="s">
        <v>1516</v>
      </c>
      <c r="C49" s="266" t="s">
        <v>2421</v>
      </c>
      <c r="D49" s="68"/>
      <c r="E49" s="68"/>
      <c r="F49" s="68"/>
      <c r="G49" s="68"/>
      <c r="H49" s="68"/>
      <c r="I49" s="43"/>
      <c r="J49" s="43"/>
      <c r="K49" s="77"/>
      <c r="L49" s="77"/>
      <c r="M49" s="77"/>
      <c r="N49" s="73" t="s">
        <v>2422</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2423</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2314</v>
      </c>
      <c r="C51" s="3637" t="s">
        <v>2424</v>
      </c>
      <c r="D51" s="3637"/>
      <c r="E51" s="3637"/>
      <c r="F51" s="3637"/>
      <c r="G51" s="3637"/>
      <c r="H51" s="3637"/>
      <c r="I51" s="3637"/>
      <c r="J51" s="3637"/>
      <c r="K51" s="3637"/>
      <c r="L51" s="3637"/>
      <c r="M51" s="304"/>
      <c r="N51" s="73" t="s">
        <v>2425</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1440</v>
      </c>
      <c r="C53" s="77"/>
      <c r="D53" s="44"/>
      <c r="E53" s="44"/>
      <c r="F53" s="44"/>
      <c r="G53" s="44"/>
      <c r="H53" s="16"/>
      <c r="I53" s="2585"/>
      <c r="J53" s="2585"/>
      <c r="K53" s="70" t="s">
        <v>1437</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2400</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25" customHeight="1">
      <c r="A56" s="2540" t="s">
        <v>70</v>
      </c>
      <c r="B56" s="2540" t="s">
        <v>1445</v>
      </c>
      <c r="C56" s="2540"/>
      <c r="D56" s="2574"/>
      <c r="E56" s="2574"/>
      <c r="F56" s="2574"/>
      <c r="G56" s="2574"/>
      <c r="H56" s="971" t="e">
        <f>#REF!</f>
        <v>#REF!</v>
      </c>
      <c r="I56" s="77"/>
      <c r="J56" s="1374" t="s">
        <v>2426</v>
      </c>
      <c r="K56" s="313" t="str">
        <f>'Part VIII Scoring Criteria OLD'!$M$60</f>
        <v>&lt;&lt; Select Pool &gt;&gt;</v>
      </c>
      <c r="L56" s="1374" t="s">
        <v>2427</v>
      </c>
      <c r="M56" s="652" t="str">
        <f>J35</f>
        <v>&lt;&lt; Select PROPOSED Tenancy &gt;&gt;</v>
      </c>
      <c r="N56" s="77"/>
      <c r="O56" s="66" t="s">
        <v>1434</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199</v>
      </c>
      <c r="B58" s="13" t="s">
        <v>1446</v>
      </c>
      <c r="C58" s="77"/>
      <c r="D58" s="68"/>
      <c r="E58" s="68"/>
      <c r="F58" s="68"/>
      <c r="G58" s="68"/>
      <c r="H58" s="68"/>
      <c r="I58" s="43"/>
      <c r="J58" s="43"/>
      <c r="K58" s="43"/>
      <c r="L58" s="28" t="s">
        <v>199</v>
      </c>
      <c r="M58" s="3762"/>
      <c r="N58" s="3763"/>
      <c r="O58" s="3763"/>
      <c r="P58" s="2861"/>
      <c r="Q58" s="938"/>
      <c r="R58" s="77"/>
      <c r="S58" s="77"/>
      <c r="T58" s="77"/>
      <c r="U58" s="77"/>
      <c r="V58" s="77"/>
      <c r="W58" s="77"/>
      <c r="X58" s="77"/>
      <c r="Y58" s="77"/>
      <c r="Z58" s="77"/>
      <c r="AA58" s="77"/>
      <c r="AB58" s="77"/>
      <c r="AC58" s="77"/>
      <c r="AD58" s="77"/>
      <c r="AE58" s="77"/>
    </row>
    <row r="59" spans="1:31" ht="12.75" customHeight="1">
      <c r="A59" s="22" t="s">
        <v>211</v>
      </c>
      <c r="B59" s="13" t="s">
        <v>2428</v>
      </c>
      <c r="C59" s="77"/>
      <c r="D59" s="68"/>
      <c r="E59" s="68"/>
      <c r="F59" s="68"/>
      <c r="G59" s="77"/>
      <c r="H59" s="77"/>
      <c r="I59" s="77"/>
      <c r="J59" s="77"/>
      <c r="K59" s="77"/>
      <c r="L59" s="28" t="s">
        <v>211</v>
      </c>
      <c r="M59" s="3735"/>
      <c r="N59" s="3736"/>
      <c r="O59" s="3736"/>
      <c r="P59" s="2863"/>
      <c r="Q59" s="307"/>
      <c r="R59" s="77"/>
      <c r="S59" s="77"/>
      <c r="T59" s="77"/>
      <c r="U59" s="77"/>
      <c r="V59" s="77"/>
      <c r="W59" s="77"/>
      <c r="X59" s="77"/>
      <c r="Y59" s="77"/>
      <c r="Z59" s="77"/>
      <c r="AA59" s="77"/>
      <c r="AB59" s="77"/>
      <c r="AC59" s="77"/>
      <c r="AD59" s="77"/>
      <c r="AE59" s="77"/>
    </row>
    <row r="60" spans="1:31" ht="12.75" customHeight="1">
      <c r="A60" s="22" t="s">
        <v>232</v>
      </c>
      <c r="B60" s="13" t="s">
        <v>2429</v>
      </c>
      <c r="C60" s="77"/>
      <c r="D60" s="68"/>
      <c r="E60" s="68"/>
      <c r="F60" s="68"/>
      <c r="G60" s="77"/>
      <c r="H60" s="77"/>
      <c r="I60" s="77"/>
      <c r="J60" s="77"/>
      <c r="K60" s="77"/>
      <c r="L60" s="28" t="s">
        <v>232</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234</v>
      </c>
      <c r="B61" s="13" t="s">
        <v>2430</v>
      </c>
      <c r="C61" s="77"/>
      <c r="D61" s="68"/>
      <c r="E61" s="68"/>
      <c r="F61" s="68"/>
      <c r="G61" s="77"/>
      <c r="H61" s="77"/>
      <c r="I61" s="77"/>
      <c r="J61" s="28" t="s">
        <v>2431</v>
      </c>
      <c r="K61" s="1131"/>
      <c r="L61" s="1130"/>
      <c r="M61" s="4552"/>
      <c r="N61" s="4612"/>
      <c r="O61" s="4613" t="s">
        <v>2432</v>
      </c>
      <c r="P61" s="661"/>
      <c r="Q61" s="1129"/>
      <c r="R61" s="77"/>
      <c r="S61" s="77"/>
      <c r="T61" s="77"/>
      <c r="U61" s="77"/>
      <c r="V61" s="77"/>
      <c r="W61" s="77"/>
      <c r="X61" s="77"/>
      <c r="Y61" s="77"/>
      <c r="Z61" s="77"/>
      <c r="AA61" s="77"/>
      <c r="AB61" s="77"/>
      <c r="AC61" s="77"/>
      <c r="AD61" s="77"/>
      <c r="AE61" s="77"/>
    </row>
    <row r="62" spans="1:31" ht="12.75" customHeight="1">
      <c r="A62" s="22" t="s">
        <v>241</v>
      </c>
      <c r="B62" s="13" t="s">
        <v>2433</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2434</v>
      </c>
      <c r="E63" s="16" t="s">
        <v>54</v>
      </c>
      <c r="F63" s="16"/>
      <c r="G63" s="77"/>
      <c r="H63" s="13"/>
      <c r="I63" s="2585" t="s">
        <v>2434</v>
      </c>
      <c r="J63" s="16" t="s">
        <v>54</v>
      </c>
      <c r="K63" s="16"/>
      <c r="L63" s="77"/>
      <c r="M63" s="13"/>
      <c r="N63" s="2585" t="s">
        <v>2434</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1509</v>
      </c>
      <c r="D64" s="4614"/>
      <c r="E64" s="4615"/>
      <c r="F64" s="4615"/>
      <c r="G64" s="4615"/>
      <c r="H64" s="28" t="s">
        <v>1516</v>
      </c>
      <c r="I64" s="4614"/>
      <c r="J64" s="4615"/>
      <c r="K64" s="4615"/>
      <c r="L64" s="4615"/>
      <c r="M64" s="28" t="s">
        <v>2318</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1512</v>
      </c>
      <c r="D65" s="1340"/>
      <c r="E65" s="3665"/>
      <c r="F65" s="3665"/>
      <c r="G65" s="3665"/>
      <c r="H65" s="28" t="s">
        <v>2314</v>
      </c>
      <c r="I65" s="1340"/>
      <c r="J65" s="3665"/>
      <c r="K65" s="3665"/>
      <c r="L65" s="3665"/>
      <c r="M65" s="28" t="s">
        <v>2320</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1514</v>
      </c>
      <c r="D66" s="277"/>
      <c r="E66" s="3666"/>
      <c r="F66" s="3666"/>
      <c r="G66" s="3666"/>
      <c r="H66" s="28" t="s">
        <v>2316</v>
      </c>
      <c r="I66" s="277"/>
      <c r="J66" s="3666"/>
      <c r="K66" s="3666"/>
      <c r="L66" s="3666"/>
      <c r="M66" s="28" t="s">
        <v>2322</v>
      </c>
      <c r="N66" s="277"/>
      <c r="O66" s="3666"/>
      <c r="P66" s="3666"/>
      <c r="Q66" s="3666"/>
      <c r="R66" s="77"/>
      <c r="S66" s="77"/>
      <c r="T66" s="77"/>
      <c r="U66" s="77"/>
      <c r="V66" s="77"/>
      <c r="W66" s="77"/>
      <c r="X66" s="77"/>
      <c r="Y66" s="77"/>
      <c r="Z66" s="77"/>
      <c r="AA66" s="77"/>
      <c r="AB66" s="77"/>
      <c r="AC66" s="77"/>
      <c r="AD66" s="77"/>
      <c r="AE66" s="77"/>
    </row>
    <row r="67" spans="1:31" ht="12.75" customHeight="1">
      <c r="A67" s="22" t="s">
        <v>243</v>
      </c>
      <c r="B67" s="13" t="s">
        <v>2435</v>
      </c>
      <c r="C67" s="77"/>
      <c r="D67" s="68"/>
      <c r="E67" s="68"/>
      <c r="F67" s="68"/>
      <c r="G67" s="68"/>
      <c r="H67" s="68"/>
      <c r="I67" s="43"/>
      <c r="J67" s="43"/>
      <c r="K67" s="68"/>
      <c r="L67" s="2586"/>
      <c r="M67" s="2586"/>
      <c r="N67" s="77"/>
      <c r="O67" s="28" t="s">
        <v>243</v>
      </c>
      <c r="P67" s="937"/>
      <c r="Q67" s="938"/>
      <c r="R67" s="77"/>
      <c r="S67" s="77"/>
      <c r="T67" s="77"/>
      <c r="U67" s="77"/>
      <c r="V67" s="77"/>
      <c r="W67" s="77"/>
      <c r="X67" s="77"/>
      <c r="Y67" s="77"/>
      <c r="Z67" s="77"/>
      <c r="AA67" s="77"/>
      <c r="AB67" s="77"/>
      <c r="AC67" s="77"/>
      <c r="AD67" s="77"/>
      <c r="AE67" s="77"/>
    </row>
    <row r="68" spans="1:31" ht="12.75" customHeight="1">
      <c r="A68" s="22" t="s">
        <v>2436</v>
      </c>
      <c r="B68" s="13" t="s">
        <v>2437</v>
      </c>
      <c r="C68" s="77"/>
      <c r="D68" s="68"/>
      <c r="E68" s="68"/>
      <c r="F68" s="68"/>
      <c r="G68" s="68"/>
      <c r="H68" s="68"/>
      <c r="I68" s="43"/>
      <c r="J68" s="43"/>
      <c r="K68" s="68"/>
      <c r="L68" s="2586"/>
      <c r="M68" s="2586"/>
      <c r="N68" s="77"/>
      <c r="O68" s="28" t="s">
        <v>2436</v>
      </c>
      <c r="P68" s="202"/>
      <c r="Q68" s="307"/>
      <c r="R68" s="77"/>
      <c r="S68" s="77"/>
      <c r="T68" s="77"/>
      <c r="U68" s="77"/>
      <c r="V68" s="77"/>
      <c r="W68" s="77"/>
      <c r="X68" s="77"/>
      <c r="Y68" s="77"/>
      <c r="Z68" s="77"/>
      <c r="AA68" s="77"/>
      <c r="AB68" s="77"/>
      <c r="AC68" s="77"/>
      <c r="AD68" s="77"/>
      <c r="AE68" s="77"/>
    </row>
    <row r="69" spans="1:31" ht="10.5" customHeight="1">
      <c r="A69" s="22" t="s">
        <v>2438</v>
      </c>
      <c r="B69" s="13" t="s">
        <v>2439</v>
      </c>
      <c r="C69" s="77"/>
      <c r="D69" s="68"/>
      <c r="E69" s="68"/>
      <c r="F69" s="68"/>
      <c r="G69" s="68"/>
      <c r="H69" s="68"/>
      <c r="I69" s="43"/>
      <c r="J69" s="43"/>
      <c r="K69" s="68"/>
      <c r="L69" s="2586"/>
      <c r="M69" s="2586"/>
      <c r="N69" s="77"/>
      <c r="O69" s="28" t="s">
        <v>2438</v>
      </c>
      <c r="P69" s="661"/>
      <c r="Q69" s="1129"/>
      <c r="R69" s="77"/>
      <c r="S69" s="77"/>
      <c r="T69" s="77"/>
      <c r="U69" s="77"/>
      <c r="V69" s="77"/>
      <c r="W69" s="77"/>
      <c r="X69" s="77"/>
      <c r="Y69" s="77"/>
      <c r="Z69" s="77"/>
      <c r="AA69" s="77"/>
      <c r="AB69" s="77"/>
      <c r="AC69" s="77"/>
      <c r="AD69" s="77"/>
      <c r="AE69" s="77"/>
    </row>
    <row r="70" spans="1:31" ht="9.75" customHeight="1">
      <c r="A70" s="77"/>
      <c r="B70" s="74" t="s">
        <v>1440</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1437</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25" customHeight="1">
      <c r="A74" s="2540" t="s">
        <v>79</v>
      </c>
      <c r="B74" s="2540" t="s">
        <v>1453</v>
      </c>
      <c r="C74" s="2540"/>
      <c r="D74" s="2574"/>
      <c r="E74" s="2574"/>
      <c r="F74" s="2574"/>
      <c r="G74" s="2574"/>
      <c r="H74" s="2574"/>
      <c r="I74" s="2574"/>
      <c r="J74" s="2574"/>
      <c r="K74" s="2574"/>
      <c r="L74" s="2574"/>
      <c r="M74" s="2574"/>
      <c r="N74" s="77"/>
      <c r="O74" s="66" t="s">
        <v>1434</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199</v>
      </c>
      <c r="B76" s="13" t="s">
        <v>2440</v>
      </c>
      <c r="C76" s="13"/>
      <c r="D76" s="77"/>
      <c r="E76" s="13"/>
      <c r="F76" s="13"/>
      <c r="G76" s="13"/>
      <c r="H76" s="13"/>
      <c r="I76" s="13"/>
      <c r="J76" s="13"/>
      <c r="K76" s="13"/>
      <c r="L76" s="16"/>
      <c r="M76" s="16"/>
      <c r="N76" s="77"/>
      <c r="O76" s="28" t="s">
        <v>199</v>
      </c>
      <c r="P76" s="267"/>
      <c r="Q76" s="938"/>
      <c r="R76" s="77"/>
      <c r="S76" s="77"/>
      <c r="T76" s="77"/>
      <c r="U76" s="77"/>
      <c r="V76" s="77"/>
      <c r="W76" s="77"/>
      <c r="X76" s="77"/>
      <c r="Y76" s="77"/>
      <c r="Z76" s="77"/>
      <c r="AA76" s="77"/>
      <c r="AB76" s="77"/>
      <c r="AC76" s="77"/>
      <c r="AD76" s="77"/>
      <c r="AE76" s="77"/>
    </row>
    <row r="77" spans="1:31" ht="12.75" customHeight="1">
      <c r="A77" s="77"/>
      <c r="B77" s="266" t="s">
        <v>1509</v>
      </c>
      <c r="C77" s="13" t="s">
        <v>2441</v>
      </c>
      <c r="D77" s="77"/>
      <c r="E77" s="43"/>
      <c r="F77" s="43"/>
      <c r="G77" s="43"/>
      <c r="H77" s="43"/>
      <c r="I77" s="43"/>
      <c r="J77" s="77"/>
      <c r="K77" s="77"/>
      <c r="L77" s="28" t="s">
        <v>2442</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1512</v>
      </c>
      <c r="C78" s="13" t="s">
        <v>2443</v>
      </c>
      <c r="D78" s="43"/>
      <c r="E78" s="43"/>
      <c r="F78" s="43"/>
      <c r="G78" s="43"/>
      <c r="H78" s="43"/>
      <c r="I78" s="43"/>
      <c r="J78" s="43"/>
      <c r="K78" s="43"/>
      <c r="L78" s="43"/>
      <c r="M78" s="43"/>
      <c r="N78" s="43"/>
      <c r="O78" s="28" t="s">
        <v>1512</v>
      </c>
      <c r="P78" s="937"/>
      <c r="Q78" s="938"/>
      <c r="R78" s="43"/>
      <c r="S78" s="43"/>
      <c r="T78" s="43"/>
      <c r="U78" s="43"/>
      <c r="V78" s="43"/>
      <c r="W78" s="43"/>
      <c r="X78" s="43"/>
      <c r="Y78" s="43"/>
      <c r="Z78" s="43"/>
      <c r="AA78" s="43"/>
      <c r="AB78" s="43"/>
      <c r="AC78" s="43"/>
      <c r="AD78" s="43"/>
      <c r="AE78" s="43"/>
    </row>
    <row r="79" spans="1:31" s="18" customFormat="1" ht="12.75" customHeight="1">
      <c r="A79" s="43"/>
      <c r="B79" s="266" t="s">
        <v>1514</v>
      </c>
      <c r="C79" s="13" t="s">
        <v>2444</v>
      </c>
      <c r="D79" s="43"/>
      <c r="E79" s="43"/>
      <c r="F79" s="43"/>
      <c r="G79" s="43"/>
      <c r="H79" s="43"/>
      <c r="I79" s="43"/>
      <c r="J79" s="43"/>
      <c r="K79" s="43"/>
      <c r="L79" s="43"/>
      <c r="M79" s="43"/>
      <c r="N79" s="43"/>
      <c r="O79" s="84" t="s">
        <v>1514</v>
      </c>
      <c r="P79" s="1036"/>
      <c r="Q79" s="1037"/>
      <c r="R79" s="43"/>
      <c r="S79" s="43"/>
      <c r="T79" s="43"/>
      <c r="U79" s="43"/>
      <c r="V79" s="43"/>
      <c r="W79" s="43"/>
      <c r="X79" s="43"/>
      <c r="Y79" s="43"/>
      <c r="Z79" s="43"/>
      <c r="AA79" s="43"/>
      <c r="AB79" s="43"/>
      <c r="AC79" s="43"/>
      <c r="AD79" s="43"/>
      <c r="AE79" s="43"/>
    </row>
    <row r="80" spans="1:31" ht="12.75" customHeight="1">
      <c r="A80" s="2585"/>
      <c r="B80" s="266" t="s">
        <v>1516</v>
      </c>
      <c r="C80" s="16" t="s">
        <v>2445</v>
      </c>
      <c r="D80" s="611"/>
      <c r="E80" s="611"/>
      <c r="F80" s="611"/>
      <c r="G80" s="611"/>
      <c r="H80" s="611"/>
      <c r="I80" s="611"/>
      <c r="J80" s="611"/>
      <c r="K80" s="611"/>
      <c r="L80" s="611"/>
      <c r="M80" s="611"/>
      <c r="N80" s="77"/>
      <c r="O80" s="84" t="s">
        <v>1516</v>
      </c>
      <c r="P80" s="606"/>
      <c r="Q80" s="307"/>
      <c r="R80" s="77"/>
      <c r="S80" s="77"/>
      <c r="T80" s="77"/>
      <c r="U80" s="77"/>
      <c r="V80" s="77"/>
      <c r="W80" s="77"/>
      <c r="X80" s="77"/>
      <c r="Y80" s="77"/>
      <c r="Z80" s="77"/>
      <c r="AA80" s="77"/>
      <c r="AB80" s="77"/>
      <c r="AC80" s="77"/>
      <c r="AD80" s="77"/>
      <c r="AE80" s="77"/>
    </row>
    <row r="81" spans="1:31" ht="12.75" customHeight="1">
      <c r="A81" s="2585"/>
      <c r="B81" s="266" t="s">
        <v>2314</v>
      </c>
      <c r="C81" s="16" t="s">
        <v>2446</v>
      </c>
      <c r="D81" s="611"/>
      <c r="E81" s="611"/>
      <c r="F81" s="611"/>
      <c r="G81" s="611"/>
      <c r="H81" s="611"/>
      <c r="I81" s="611"/>
      <c r="J81" s="611"/>
      <c r="K81" s="611"/>
      <c r="L81" s="611"/>
      <c r="M81" s="611"/>
      <c r="N81" s="77"/>
      <c r="O81" s="84" t="s">
        <v>2314</v>
      </c>
      <c r="P81" s="202"/>
      <c r="Q81" s="307"/>
      <c r="R81" s="77"/>
      <c r="S81" s="77"/>
      <c r="T81" s="77"/>
      <c r="U81" s="77"/>
      <c r="V81" s="77"/>
      <c r="W81" s="77"/>
      <c r="X81" s="77"/>
      <c r="Y81" s="77"/>
      <c r="Z81" s="77"/>
      <c r="AA81" s="77"/>
      <c r="AB81" s="77"/>
      <c r="AC81" s="77"/>
      <c r="AD81" s="77"/>
      <c r="AE81" s="77"/>
    </row>
    <row r="82" spans="1:31" ht="12.75" customHeight="1">
      <c r="A82" s="2585"/>
      <c r="B82" s="266" t="s">
        <v>2316</v>
      </c>
      <c r="C82" s="16" t="s">
        <v>2447</v>
      </c>
      <c r="D82" s="611"/>
      <c r="E82" s="611"/>
      <c r="F82" s="611"/>
      <c r="G82" s="611"/>
      <c r="H82" s="611"/>
      <c r="I82" s="611"/>
      <c r="J82" s="611"/>
      <c r="K82" s="611"/>
      <c r="L82" s="611"/>
      <c r="M82" s="611"/>
      <c r="N82" s="77"/>
      <c r="O82" s="84" t="s">
        <v>2316</v>
      </c>
      <c r="P82" s="202"/>
      <c r="Q82" s="307"/>
      <c r="R82" s="77"/>
      <c r="S82" s="77"/>
      <c r="T82" s="77"/>
      <c r="U82" s="77"/>
      <c r="V82" s="77"/>
      <c r="W82" s="77"/>
      <c r="X82" s="77"/>
      <c r="Y82" s="77"/>
      <c r="Z82" s="77"/>
      <c r="AA82" s="77"/>
      <c r="AB82" s="77"/>
      <c r="AC82" s="77"/>
      <c r="AD82" s="77"/>
      <c r="AE82" s="77"/>
    </row>
    <row r="83" spans="1:31" ht="12.75" customHeight="1">
      <c r="A83" s="2585"/>
      <c r="B83" s="266" t="s">
        <v>2318</v>
      </c>
      <c r="C83" s="16" t="s">
        <v>2448</v>
      </c>
      <c r="D83" s="16"/>
      <c r="E83" s="16"/>
      <c r="F83" s="16"/>
      <c r="G83" s="16"/>
      <c r="H83" s="16"/>
      <c r="I83" s="16"/>
      <c r="J83" s="16"/>
      <c r="K83" s="16"/>
      <c r="L83" s="16"/>
      <c r="M83" s="527"/>
      <c r="N83" s="77"/>
      <c r="O83" s="84" t="s">
        <v>2318</v>
      </c>
      <c r="P83" s="202"/>
      <c r="Q83" s="307"/>
      <c r="R83" s="77"/>
      <c r="S83" s="77"/>
      <c r="T83" s="77"/>
      <c r="U83" s="77"/>
      <c r="V83" s="77"/>
      <c r="W83" s="77"/>
      <c r="X83" s="77"/>
      <c r="Y83" s="77"/>
      <c r="Z83" s="77"/>
      <c r="AA83" s="77"/>
      <c r="AB83" s="77"/>
      <c r="AC83" s="77"/>
      <c r="AD83" s="77"/>
      <c r="AE83" s="77"/>
    </row>
    <row r="84" spans="1:31" s="67" customFormat="1" ht="23.25" customHeight="1">
      <c r="A84" s="241"/>
      <c r="B84" s="266" t="s">
        <v>2320</v>
      </c>
      <c r="C84" s="3637" t="s">
        <v>2449</v>
      </c>
      <c r="D84" s="3637"/>
      <c r="E84" s="3637"/>
      <c r="F84" s="3637"/>
      <c r="G84" s="3637"/>
      <c r="H84" s="3637"/>
      <c r="I84" s="3637"/>
      <c r="J84" s="3637"/>
      <c r="K84" s="3637"/>
      <c r="L84" s="3637"/>
      <c r="M84" s="3637"/>
      <c r="N84" s="3637"/>
      <c r="O84" s="84" t="s">
        <v>2320</v>
      </c>
      <c r="P84" s="2590"/>
      <c r="Q84" s="2588"/>
      <c r="R84" s="229"/>
      <c r="S84" s="229"/>
      <c r="T84" s="229"/>
      <c r="U84" s="229"/>
      <c r="V84" s="229"/>
      <c r="W84" s="229"/>
      <c r="X84" s="229"/>
      <c r="Y84" s="229"/>
      <c r="Z84" s="229"/>
      <c r="AA84" s="229"/>
      <c r="AB84" s="229"/>
      <c r="AC84" s="229"/>
      <c r="AD84" s="229"/>
      <c r="AE84" s="229"/>
    </row>
    <row r="85" spans="1:31" ht="12.75" customHeight="1">
      <c r="A85" s="22" t="s">
        <v>211</v>
      </c>
      <c r="B85" s="13" t="s">
        <v>1455</v>
      </c>
      <c r="C85" s="13"/>
      <c r="D85" s="77"/>
      <c r="E85" s="13"/>
      <c r="F85" s="13"/>
      <c r="G85" s="13"/>
      <c r="H85" s="13"/>
      <c r="I85" s="13"/>
      <c r="J85" s="13"/>
      <c r="K85" s="13"/>
      <c r="L85" s="13"/>
      <c r="M85" s="13"/>
      <c r="N85" s="77"/>
      <c r="O85" s="28" t="s">
        <v>211</v>
      </c>
      <c r="P85" s="937"/>
      <c r="Q85" s="938"/>
      <c r="R85" s="77"/>
      <c r="S85" s="77"/>
      <c r="T85" s="77"/>
      <c r="U85" s="77"/>
      <c r="V85" s="77"/>
      <c r="W85" s="77"/>
      <c r="X85" s="77"/>
      <c r="Y85" s="77"/>
      <c r="Z85" s="77"/>
      <c r="AA85" s="77"/>
      <c r="AB85" s="77"/>
      <c r="AC85" s="77"/>
      <c r="AD85" s="77"/>
      <c r="AE85" s="77"/>
    </row>
    <row r="86" spans="1:31" ht="12.75" customHeight="1">
      <c r="A86" s="77"/>
      <c r="B86" s="266" t="s">
        <v>1509</v>
      </c>
      <c r="C86" s="13" t="s">
        <v>2450</v>
      </c>
      <c r="D86" s="13"/>
      <c r="E86" s="13"/>
      <c r="F86" s="13"/>
      <c r="G86" s="13"/>
      <c r="H86" s="13"/>
      <c r="I86" s="13"/>
      <c r="J86" s="13"/>
      <c r="K86" s="13"/>
      <c r="L86" s="13"/>
      <c r="M86" s="13"/>
      <c r="N86" s="77"/>
      <c r="O86" s="84" t="s">
        <v>1509</v>
      </c>
      <c r="P86" s="937"/>
      <c r="Q86" s="938"/>
      <c r="R86" s="77"/>
      <c r="S86" s="77"/>
      <c r="T86" s="77"/>
      <c r="U86" s="77"/>
      <c r="V86" s="77"/>
      <c r="W86" s="77"/>
      <c r="X86" s="77"/>
      <c r="Y86" s="77"/>
      <c r="Z86" s="77"/>
      <c r="AA86" s="77"/>
      <c r="AB86" s="77"/>
      <c r="AC86" s="77"/>
      <c r="AD86" s="77"/>
      <c r="AE86" s="77"/>
    </row>
    <row r="87" spans="1:31" ht="12.75" customHeight="1">
      <c r="A87" s="22"/>
      <c r="B87" s="16" t="s">
        <v>1512</v>
      </c>
      <c r="C87" s="13" t="s">
        <v>2451</v>
      </c>
      <c r="D87" s="13"/>
      <c r="E87" s="13"/>
      <c r="F87" s="13"/>
      <c r="G87" s="13"/>
      <c r="H87" s="13"/>
      <c r="I87" s="13"/>
      <c r="J87" s="13"/>
      <c r="K87" s="13"/>
      <c r="L87" s="13"/>
      <c r="M87" s="13"/>
      <c r="N87" s="77"/>
      <c r="O87" s="28" t="s">
        <v>1512</v>
      </c>
      <c r="P87" s="1034"/>
      <c r="Q87" s="1033"/>
      <c r="R87" s="77"/>
      <c r="S87" s="77"/>
      <c r="T87" s="77"/>
      <c r="U87" s="77"/>
      <c r="V87" s="77"/>
      <c r="W87" s="77"/>
      <c r="X87" s="77"/>
      <c r="Y87" s="77"/>
      <c r="Z87" s="77"/>
      <c r="AA87" s="77"/>
      <c r="AB87" s="77"/>
      <c r="AC87" s="77"/>
      <c r="AD87" s="77"/>
      <c r="AE87" s="77"/>
    </row>
    <row r="88" spans="1:31" ht="10.5" customHeight="1">
      <c r="A88" s="77"/>
      <c r="B88" s="74" t="s">
        <v>1440</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1437</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25" customHeight="1">
      <c r="A92" s="2540" t="s">
        <v>81</v>
      </c>
      <c r="B92" s="2540" t="s">
        <v>1458</v>
      </c>
      <c r="C92" s="16"/>
      <c r="D92" s="2574"/>
      <c r="E92" s="2574"/>
      <c r="F92" s="2574"/>
      <c r="G92" s="2574"/>
      <c r="H92" s="2574"/>
      <c r="I92" s="2574"/>
      <c r="J92" s="2574"/>
      <c r="K92" s="2574"/>
      <c r="L92" s="2574"/>
      <c r="M92" s="2574"/>
      <c r="N92" s="644" t="s">
        <v>2452</v>
      </c>
      <c r="O92" s="66" t="s">
        <v>1434</v>
      </c>
      <c r="P92" s="3646"/>
      <c r="Q92" s="3647"/>
      <c r="R92" s="646" t="s">
        <v>2453</v>
      </c>
      <c r="S92" s="77"/>
      <c r="T92" s="77"/>
      <c r="U92" s="77"/>
      <c r="V92" s="77"/>
      <c r="W92" s="77"/>
      <c r="X92" s="77"/>
      <c r="Y92" s="77"/>
      <c r="Z92" s="77"/>
      <c r="AA92" s="77"/>
      <c r="AB92" s="77"/>
      <c r="AC92" s="77"/>
      <c r="AD92" s="77"/>
      <c r="AE92" s="77"/>
    </row>
    <row r="93" spans="1:31" ht="6.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199</v>
      </c>
      <c r="B94" s="13" t="s">
        <v>2454</v>
      </c>
      <c r="C94" s="77"/>
      <c r="D94" s="68"/>
      <c r="E94" s="68"/>
      <c r="F94" s="68"/>
      <c r="G94" s="68"/>
      <c r="H94" s="68"/>
      <c r="I94" s="43"/>
      <c r="J94" s="43"/>
      <c r="K94" s="28" t="s">
        <v>199</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2455</v>
      </c>
      <c r="C95" s="77"/>
      <c r="D95" s="77"/>
      <c r="E95" s="77"/>
      <c r="F95" s="77"/>
      <c r="G95" s="77"/>
      <c r="H95" s="77"/>
      <c r="I95" s="77"/>
      <c r="J95" s="77"/>
      <c r="K95" s="77"/>
      <c r="L95" s="77"/>
      <c r="M95" s="77"/>
      <c r="N95" s="77"/>
      <c r="O95" s="28" t="s">
        <v>1512</v>
      </c>
      <c r="P95" s="202"/>
      <c r="Q95" s="307"/>
      <c r="R95" s="77"/>
      <c r="S95" s="77"/>
      <c r="T95" s="77"/>
      <c r="U95" s="77"/>
      <c r="V95" s="77"/>
      <c r="W95" s="77"/>
      <c r="X95" s="77"/>
      <c r="Y95" s="77"/>
      <c r="Z95" s="77"/>
      <c r="AA95" s="77"/>
      <c r="AB95" s="77"/>
      <c r="AC95" s="77"/>
      <c r="AD95" s="77"/>
      <c r="AE95" s="77"/>
    </row>
    <row r="96" spans="1:31" ht="12" customHeight="1">
      <c r="A96" s="77"/>
      <c r="B96" s="25" t="s">
        <v>2456</v>
      </c>
      <c r="C96" s="77"/>
      <c r="D96" s="77"/>
      <c r="E96" s="77"/>
      <c r="F96" s="77"/>
      <c r="G96" s="77"/>
      <c r="H96" s="77"/>
      <c r="I96" s="25" t="s">
        <v>2457</v>
      </c>
      <c r="J96" s="77"/>
      <c r="K96" s="1364"/>
      <c r="L96" s="1365"/>
      <c r="M96" s="77"/>
      <c r="N96" s="25" t="s">
        <v>2458</v>
      </c>
      <c r="O96" s="77"/>
      <c r="P96" s="1362"/>
      <c r="Q96" s="1363"/>
      <c r="R96" s="77"/>
      <c r="S96" s="77"/>
      <c r="T96" s="77"/>
      <c r="U96" s="77"/>
      <c r="V96" s="77"/>
      <c r="W96" s="77"/>
      <c r="X96" s="77"/>
      <c r="Y96" s="77"/>
      <c r="Z96" s="77"/>
      <c r="AA96" s="77"/>
      <c r="AB96" s="77"/>
      <c r="AC96" s="77"/>
      <c r="AD96" s="77"/>
      <c r="AE96" s="77"/>
    </row>
    <row r="97" spans="1:17" ht="12" customHeight="1">
      <c r="A97" s="22" t="s">
        <v>211</v>
      </c>
      <c r="B97" s="13" t="s">
        <v>1462</v>
      </c>
      <c r="C97" s="77"/>
      <c r="D97" s="68"/>
      <c r="E97" s="68"/>
      <c r="F97" s="68"/>
      <c r="G97" s="68"/>
      <c r="H97" s="68"/>
      <c r="I97" s="43"/>
      <c r="J97" s="43"/>
      <c r="K97" s="68"/>
      <c r="L97" s="2586"/>
      <c r="M97" s="77"/>
      <c r="N97" s="77"/>
      <c r="O97" s="28" t="s">
        <v>211</v>
      </c>
      <c r="P97" s="267"/>
      <c r="Q97" s="306"/>
    </row>
    <row r="98" spans="1:17" ht="12" customHeight="1">
      <c r="A98" s="22" t="s">
        <v>232</v>
      </c>
      <c r="B98" s="13" t="s">
        <v>2459</v>
      </c>
      <c r="C98" s="77"/>
      <c r="D98" s="68"/>
      <c r="E98" s="68"/>
      <c r="F98" s="68"/>
      <c r="G98" s="68"/>
      <c r="H98" s="68"/>
      <c r="I98" s="43"/>
      <c r="J98" s="43"/>
      <c r="K98" s="2586"/>
      <c r="L98" s="2601"/>
      <c r="M98" s="4616"/>
      <c r="N98" s="4616"/>
      <c r="O98" s="1361" t="s">
        <v>232</v>
      </c>
      <c r="P98" s="1360"/>
      <c r="Q98" s="1359"/>
    </row>
    <row r="99" spans="1:17" ht="12" customHeight="1">
      <c r="A99" s="22"/>
      <c r="B99" s="16" t="s">
        <v>1509</v>
      </c>
      <c r="C99" s="13" t="s">
        <v>2460</v>
      </c>
      <c r="D99" s="77"/>
      <c r="E99" s="68"/>
      <c r="F99" s="68"/>
      <c r="G99" s="68"/>
      <c r="H99" s="68"/>
      <c r="I99" s="43"/>
      <c r="J99" s="43"/>
      <c r="K99" s="28" t="s">
        <v>1509</v>
      </c>
      <c r="L99" s="3749"/>
      <c r="M99" s="3749"/>
      <c r="N99" s="3749"/>
      <c r="O99" s="3749"/>
      <c r="P99" s="3750"/>
      <c r="Q99" s="307"/>
    </row>
    <row r="100" spans="1:17" ht="12" customHeight="1">
      <c r="A100" s="72"/>
      <c r="B100" s="16" t="s">
        <v>1512</v>
      </c>
      <c r="C100" s="13" t="s">
        <v>2461</v>
      </c>
      <c r="D100" s="77"/>
      <c r="E100" s="43"/>
      <c r="F100" s="43"/>
      <c r="G100" s="43"/>
      <c r="H100" s="13"/>
      <c r="I100" s="43"/>
      <c r="J100" s="43"/>
      <c r="K100" s="68"/>
      <c r="L100" s="4617"/>
      <c r="M100" s="4617"/>
      <c r="N100" s="4618"/>
      <c r="O100" s="4619" t="s">
        <v>1512</v>
      </c>
      <c r="P100" s="606"/>
      <c r="Q100" s="2576"/>
    </row>
    <row r="101" spans="1:17" ht="12" customHeight="1">
      <c r="A101" s="72"/>
      <c r="B101" s="16" t="s">
        <v>1514</v>
      </c>
      <c r="C101" s="13" t="s">
        <v>2462</v>
      </c>
      <c r="D101" s="77"/>
      <c r="E101" s="43"/>
      <c r="F101" s="43"/>
      <c r="G101" s="43"/>
      <c r="H101" s="13"/>
      <c r="I101" s="43"/>
      <c r="J101" s="43"/>
      <c r="K101" s="68"/>
      <c r="L101" s="2586"/>
      <c r="M101" s="2586"/>
      <c r="N101" s="77"/>
      <c r="O101" s="28" t="s">
        <v>1514</v>
      </c>
      <c r="P101" s="118"/>
      <c r="Q101" s="308"/>
    </row>
    <row r="102" spans="1:17" s="77" customFormat="1" ht="12" customHeight="1">
      <c r="A102" s="22" t="s">
        <v>234</v>
      </c>
      <c r="B102" s="13" t="s">
        <v>2463</v>
      </c>
      <c r="D102" s="68"/>
      <c r="E102" s="68"/>
      <c r="F102" s="68"/>
      <c r="G102" s="68"/>
      <c r="H102" s="68"/>
      <c r="I102" s="43"/>
      <c r="J102" s="43"/>
      <c r="K102" s="68"/>
      <c r="L102" s="2586"/>
      <c r="M102" s="2586"/>
      <c r="N102" s="2586"/>
      <c r="O102" s="28" t="s">
        <v>234</v>
      </c>
    </row>
    <row r="103" spans="1:17" s="77" customFormat="1" ht="12" customHeight="1">
      <c r="A103" s="22"/>
      <c r="B103" s="16" t="s">
        <v>1509</v>
      </c>
      <c r="C103" s="13" t="s">
        <v>2464</v>
      </c>
      <c r="E103" s="68"/>
      <c r="F103" s="68"/>
      <c r="G103" s="68"/>
      <c r="H103" s="68"/>
      <c r="I103" s="43"/>
      <c r="J103" s="43"/>
      <c r="K103" s="68"/>
      <c r="L103" s="2586"/>
      <c r="M103" s="2586"/>
      <c r="O103" s="28" t="s">
        <v>1509</v>
      </c>
      <c r="P103" s="937"/>
      <c r="Q103" s="938"/>
    </row>
    <row r="104" spans="1:17" s="77" customFormat="1" ht="12" customHeight="1">
      <c r="A104" s="22"/>
      <c r="B104" s="16" t="s">
        <v>1512</v>
      </c>
      <c r="C104" s="13" t="s">
        <v>2465</v>
      </c>
      <c r="E104" s="68"/>
      <c r="F104" s="68"/>
      <c r="G104" s="68"/>
      <c r="H104" s="43"/>
      <c r="I104" s="43"/>
      <c r="J104" s="43"/>
      <c r="K104" s="68"/>
      <c r="L104" s="2586"/>
      <c r="M104" s="2586"/>
      <c r="O104" s="28" t="s">
        <v>1512</v>
      </c>
      <c r="P104" s="202"/>
      <c r="Q104" s="307"/>
    </row>
    <row r="105" spans="1:17" s="77" customFormat="1" ht="12" customHeight="1">
      <c r="A105" s="22"/>
      <c r="B105" s="16"/>
      <c r="C105" s="13" t="s">
        <v>2466</v>
      </c>
      <c r="E105" s="28" t="s">
        <v>2467</v>
      </c>
      <c r="F105" s="13" t="s">
        <v>2468</v>
      </c>
      <c r="G105" s="43"/>
      <c r="H105" s="13"/>
      <c r="I105" s="43"/>
      <c r="J105" s="43"/>
      <c r="K105" s="68"/>
      <c r="L105" s="2586"/>
      <c r="M105" s="2586"/>
      <c r="O105" s="28" t="s">
        <v>2467</v>
      </c>
      <c r="P105" s="1427"/>
      <c r="Q105" s="1428"/>
    </row>
    <row r="106" spans="1:17" s="77" customFormat="1" ht="12" customHeight="1">
      <c r="A106" s="22"/>
      <c r="B106" s="16"/>
      <c r="E106" s="28" t="s">
        <v>2469</v>
      </c>
      <c r="F106" s="13" t="s">
        <v>2470</v>
      </c>
      <c r="G106" s="43"/>
      <c r="H106" s="13"/>
      <c r="I106" s="43"/>
      <c r="J106" s="43"/>
      <c r="K106" s="68"/>
      <c r="L106" s="2586"/>
      <c r="M106" s="2586"/>
      <c r="O106" s="28" t="s">
        <v>2469</v>
      </c>
      <c r="P106" s="202"/>
      <c r="Q106" s="307"/>
    </row>
    <row r="107" spans="1:17" s="77" customFormat="1" ht="12" customHeight="1">
      <c r="A107" s="22"/>
      <c r="B107" s="16" t="s">
        <v>1514</v>
      </c>
      <c r="C107" s="13" t="s">
        <v>2471</v>
      </c>
      <c r="E107" s="68"/>
      <c r="F107" s="68"/>
      <c r="G107" s="68"/>
      <c r="H107" s="13"/>
      <c r="I107" s="43"/>
      <c r="J107" s="43"/>
      <c r="K107" s="68"/>
      <c r="L107" s="2586"/>
      <c r="M107" s="2586"/>
      <c r="O107" s="28" t="s">
        <v>1514</v>
      </c>
      <c r="P107" s="202"/>
      <c r="Q107" s="307"/>
    </row>
    <row r="108" spans="1:17" s="77" customFormat="1" ht="12" customHeight="1">
      <c r="A108" s="22"/>
      <c r="B108" s="28"/>
      <c r="C108" s="13" t="s">
        <v>2466</v>
      </c>
      <c r="E108" s="28" t="s">
        <v>2467</v>
      </c>
      <c r="F108" s="13" t="s">
        <v>2472</v>
      </c>
      <c r="G108" s="43"/>
      <c r="H108" s="13"/>
      <c r="I108" s="43"/>
      <c r="J108" s="43"/>
      <c r="K108" s="68"/>
      <c r="L108" s="2586"/>
      <c r="O108" s="28" t="s">
        <v>2467</v>
      </c>
      <c r="P108" s="1427"/>
      <c r="Q108" s="1428"/>
    </row>
    <row r="109" spans="1:17" s="77" customFormat="1" ht="12" customHeight="1">
      <c r="A109" s="22"/>
      <c r="B109" s="28"/>
      <c r="E109" s="28" t="s">
        <v>2469</v>
      </c>
      <c r="F109" s="13" t="s">
        <v>2473</v>
      </c>
      <c r="G109" s="43"/>
      <c r="H109" s="13"/>
      <c r="I109" s="43"/>
      <c r="J109" s="43"/>
      <c r="O109" s="28" t="s">
        <v>2469</v>
      </c>
      <c r="P109" s="118"/>
      <c r="Q109" s="308"/>
    </row>
    <row r="110" spans="1:17" ht="12" customHeight="1">
      <c r="A110" s="22" t="s">
        <v>241</v>
      </c>
      <c r="B110" s="16" t="s">
        <v>2474</v>
      </c>
      <c r="C110" s="77"/>
      <c r="D110" s="68"/>
      <c r="E110" s="68"/>
      <c r="F110" s="68"/>
      <c r="G110" s="68"/>
      <c r="H110" s="68"/>
      <c r="I110" s="43"/>
      <c r="J110" s="43"/>
      <c r="K110" s="68"/>
      <c r="L110" s="77"/>
      <c r="M110" s="2586"/>
      <c r="N110" s="2586"/>
      <c r="O110" s="2586"/>
      <c r="P110" s="2586"/>
      <c r="Q110" s="2586"/>
    </row>
    <row r="111" spans="1:17" ht="12" customHeight="1">
      <c r="A111" s="22"/>
      <c r="B111" s="16" t="s">
        <v>1509</v>
      </c>
      <c r="C111" s="13" t="s">
        <v>2471</v>
      </c>
      <c r="D111" s="68"/>
      <c r="E111" s="16"/>
      <c r="F111" s="937"/>
      <c r="G111" s="938"/>
      <c r="H111" s="28" t="s">
        <v>2475</v>
      </c>
      <c r="I111" s="13" t="s">
        <v>2476</v>
      </c>
      <c r="J111" s="937"/>
      <c r="K111" s="938"/>
      <c r="L111" s="28" t="s">
        <v>2477</v>
      </c>
      <c r="M111" s="73" t="s">
        <v>2478</v>
      </c>
      <c r="N111" s="77"/>
      <c r="O111" s="77"/>
      <c r="P111" s="937"/>
      <c r="Q111" s="938"/>
    </row>
    <row r="112" spans="1:17" ht="12.75" customHeight="1">
      <c r="A112" s="77"/>
      <c r="B112" s="16" t="s">
        <v>1512</v>
      </c>
      <c r="C112" s="13" t="s">
        <v>2479</v>
      </c>
      <c r="D112" s="77"/>
      <c r="E112" s="68"/>
      <c r="F112" s="202"/>
      <c r="G112" s="307"/>
      <c r="H112" s="28" t="s">
        <v>2480</v>
      </c>
      <c r="I112" s="13" t="s">
        <v>2481</v>
      </c>
      <c r="J112" s="202"/>
      <c r="K112" s="307"/>
      <c r="L112" s="28" t="s">
        <v>2482</v>
      </c>
      <c r="M112" s="25" t="s">
        <v>2483</v>
      </c>
      <c r="N112" s="77"/>
      <c r="O112" s="2586"/>
      <c r="P112" s="202"/>
      <c r="Q112" s="307"/>
    </row>
    <row r="113" spans="1:31" ht="12" customHeight="1">
      <c r="A113" s="13"/>
      <c r="B113" s="16" t="s">
        <v>1514</v>
      </c>
      <c r="C113" s="13" t="s">
        <v>2484</v>
      </c>
      <c r="D113" s="77"/>
      <c r="E113" s="68"/>
      <c r="F113" s="202"/>
      <c r="G113" s="307"/>
      <c r="H113" s="28" t="s">
        <v>2485</v>
      </c>
      <c r="I113" s="13" t="s">
        <v>2486</v>
      </c>
      <c r="J113" s="202"/>
      <c r="K113" s="307"/>
      <c r="L113" s="28" t="s">
        <v>2487</v>
      </c>
      <c r="M113" s="13" t="s">
        <v>2488</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1516</v>
      </c>
      <c r="C114" s="25" t="s">
        <v>2489</v>
      </c>
      <c r="D114" s="77"/>
      <c r="E114" s="68"/>
      <c r="F114" s="118"/>
      <c r="G114" s="308"/>
      <c r="H114" s="28" t="s">
        <v>2490</v>
      </c>
      <c r="I114" s="25" t="s">
        <v>2491</v>
      </c>
      <c r="J114" s="118"/>
      <c r="K114" s="308"/>
      <c r="L114" s="28" t="s">
        <v>2492</v>
      </c>
      <c r="M114" s="25" t="s">
        <v>2493</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2494</v>
      </c>
      <c r="C115" s="13" t="s">
        <v>2495</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243</v>
      </c>
      <c r="B117" s="13" t="s">
        <v>2496</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1509</v>
      </c>
      <c r="C118" s="13" t="s">
        <v>2497</v>
      </c>
      <c r="D118" s="77"/>
      <c r="E118" s="68"/>
      <c r="F118" s="68"/>
      <c r="G118" s="68"/>
      <c r="H118" s="68"/>
      <c r="I118" s="77"/>
      <c r="J118" s="77"/>
      <c r="K118" s="77"/>
      <c r="L118" s="77"/>
      <c r="M118" s="77"/>
      <c r="N118" s="77"/>
      <c r="O118" s="28" t="s">
        <v>2498</v>
      </c>
      <c r="P118" s="937"/>
      <c r="Q118" s="938"/>
      <c r="R118" s="77"/>
      <c r="S118" s="77"/>
      <c r="T118" s="77"/>
      <c r="U118" s="77"/>
      <c r="V118" s="77"/>
      <c r="W118" s="77"/>
      <c r="X118" s="77"/>
      <c r="Y118" s="77"/>
      <c r="Z118" s="77"/>
      <c r="AA118" s="77"/>
      <c r="AB118" s="77"/>
      <c r="AC118" s="77"/>
      <c r="AD118" s="77"/>
      <c r="AE118" s="77"/>
    </row>
    <row r="119" spans="1:31" ht="12.75" customHeight="1">
      <c r="A119" s="2585"/>
      <c r="B119" s="16" t="s">
        <v>1512</v>
      </c>
      <c r="C119" s="13" t="s">
        <v>2499</v>
      </c>
      <c r="D119" s="77"/>
      <c r="E119" s="13"/>
      <c r="F119" s="13"/>
      <c r="G119" s="13"/>
      <c r="H119" s="13"/>
      <c r="I119" s="43"/>
      <c r="J119" s="43"/>
      <c r="K119" s="13"/>
      <c r="L119" s="13"/>
      <c r="M119" s="13"/>
      <c r="N119" s="77"/>
      <c r="O119" s="28" t="s">
        <v>1512</v>
      </c>
      <c r="P119" s="202"/>
      <c r="Q119" s="307"/>
      <c r="R119" s="77"/>
      <c r="S119" s="77"/>
      <c r="T119" s="77"/>
      <c r="U119" s="77"/>
      <c r="V119" s="77"/>
      <c r="W119" s="77"/>
      <c r="X119" s="77"/>
      <c r="Y119" s="77"/>
      <c r="Z119" s="77"/>
      <c r="AA119" s="77"/>
      <c r="AB119" s="77"/>
      <c r="AC119" s="77"/>
      <c r="AD119" s="77"/>
      <c r="AE119" s="77"/>
    </row>
    <row r="120" spans="1:31" ht="12.75" customHeight="1">
      <c r="A120" s="2585"/>
      <c r="B120" s="16" t="s">
        <v>1514</v>
      </c>
      <c r="C120" s="13" t="s">
        <v>2500</v>
      </c>
      <c r="D120" s="77"/>
      <c r="E120" s="13"/>
      <c r="F120" s="13"/>
      <c r="G120" s="13"/>
      <c r="H120" s="13"/>
      <c r="I120" s="43"/>
      <c r="J120" s="43"/>
      <c r="K120" s="13"/>
      <c r="L120" s="13"/>
      <c r="M120" s="13"/>
      <c r="N120" s="77"/>
      <c r="O120" s="28" t="s">
        <v>1514</v>
      </c>
      <c r="P120" s="202"/>
      <c r="Q120" s="307"/>
      <c r="R120" s="77"/>
      <c r="S120" s="77"/>
      <c r="T120" s="77"/>
      <c r="U120" s="77"/>
      <c r="V120" s="77"/>
      <c r="W120" s="77"/>
      <c r="X120" s="77"/>
      <c r="Y120" s="77"/>
      <c r="Z120" s="77"/>
      <c r="AA120" s="77"/>
      <c r="AB120" s="77"/>
      <c r="AC120" s="77"/>
      <c r="AD120" s="77"/>
      <c r="AE120" s="77"/>
    </row>
    <row r="121" spans="1:31" ht="12.75" customHeight="1">
      <c r="A121" s="2585"/>
      <c r="B121" s="16" t="s">
        <v>1516</v>
      </c>
      <c r="C121" s="13" t="s">
        <v>2501</v>
      </c>
      <c r="D121" s="77"/>
      <c r="E121" s="13"/>
      <c r="F121" s="13"/>
      <c r="G121" s="13"/>
      <c r="H121" s="13"/>
      <c r="I121" s="43"/>
      <c r="J121" s="43"/>
      <c r="K121" s="13"/>
      <c r="L121" s="13"/>
      <c r="M121" s="13"/>
      <c r="N121" s="77"/>
      <c r="O121" s="28" t="s">
        <v>1516</v>
      </c>
      <c r="P121" s="118"/>
      <c r="Q121" s="308"/>
      <c r="R121" s="77"/>
      <c r="S121" s="77"/>
      <c r="T121" s="77"/>
      <c r="U121" s="77"/>
      <c r="V121" s="77"/>
      <c r="W121" s="77"/>
      <c r="X121" s="77"/>
      <c r="Y121" s="77"/>
      <c r="Z121" s="77"/>
      <c r="AA121" s="77"/>
      <c r="AB121" s="77"/>
      <c r="AC121" s="77"/>
      <c r="AD121" s="77"/>
      <c r="AE121" s="77"/>
    </row>
    <row r="122" spans="1:31" ht="12" customHeight="1">
      <c r="A122" s="39" t="s">
        <v>2502</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2436</v>
      </c>
      <c r="B123" s="3637" t="s">
        <v>2503</v>
      </c>
      <c r="C123" s="3637"/>
      <c r="D123" s="3637"/>
      <c r="E123" s="3637"/>
      <c r="F123" s="3637"/>
      <c r="G123" s="3637"/>
      <c r="H123" s="3637"/>
      <c r="I123" s="3637"/>
      <c r="J123" s="3637"/>
      <c r="K123" s="3637"/>
      <c r="L123" s="3637"/>
      <c r="M123" s="84" t="s">
        <v>2436</v>
      </c>
      <c r="N123" s="4620" t="s">
        <v>726</v>
      </c>
      <c r="O123" s="4621"/>
      <c r="P123" s="4622" t="s">
        <v>726</v>
      </c>
      <c r="Q123" s="4623"/>
      <c r="R123" s="43"/>
      <c r="S123" s="43"/>
      <c r="T123" s="43"/>
      <c r="U123" s="43"/>
      <c r="V123" s="43"/>
      <c r="W123" s="43"/>
      <c r="X123" s="43"/>
      <c r="Y123" s="43"/>
      <c r="Z123" s="43"/>
      <c r="AA123" s="43"/>
      <c r="AB123" s="43"/>
      <c r="AC123" s="43"/>
      <c r="AD123" s="43"/>
      <c r="AE123" s="43"/>
    </row>
    <row r="124" spans="1:31" ht="11.25" customHeight="1">
      <c r="A124" s="77"/>
      <c r="B124" s="74" t="s">
        <v>1440</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2400</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1437</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25" customHeight="1">
      <c r="A130" s="2540" t="s">
        <v>1475</v>
      </c>
      <c r="B130" s="2540" t="s">
        <v>1470</v>
      </c>
      <c r="C130" s="2540"/>
      <c r="D130" s="2574"/>
      <c r="E130" s="2574"/>
      <c r="F130" s="2574"/>
      <c r="G130" s="2574"/>
      <c r="H130" s="2574"/>
      <c r="I130" s="2574"/>
      <c r="J130" s="2574"/>
      <c r="K130" s="2574"/>
      <c r="L130" s="77"/>
      <c r="M130" s="77"/>
      <c r="N130" s="644" t="s">
        <v>2452</v>
      </c>
      <c r="O130" s="66" t="s">
        <v>1434</v>
      </c>
      <c r="P130" s="3646"/>
      <c r="Q130" s="3647"/>
      <c r="R130" s="646" t="s">
        <v>2453</v>
      </c>
      <c r="S130" s="77"/>
      <c r="T130" s="77"/>
      <c r="U130" s="77"/>
      <c r="V130" s="77"/>
      <c r="W130" s="77"/>
      <c r="X130" s="77"/>
      <c r="Y130" s="77"/>
      <c r="Z130" s="77"/>
      <c r="AA130" s="77"/>
      <c r="AB130" s="77"/>
      <c r="AC130" s="77"/>
      <c r="AD130" s="77"/>
      <c r="AE130" s="77"/>
    </row>
    <row r="131" spans="1:31" ht="12" customHeight="1">
      <c r="A131" s="22" t="s">
        <v>199</v>
      </c>
      <c r="B131" s="16" t="s">
        <v>1509</v>
      </c>
      <c r="C131" s="13" t="s">
        <v>2504</v>
      </c>
      <c r="D131" s="13"/>
      <c r="E131" s="13"/>
      <c r="F131" s="13"/>
      <c r="G131" s="13"/>
      <c r="H131" s="77"/>
      <c r="I131" s="77"/>
      <c r="J131" s="77"/>
      <c r="K131" s="13" t="s">
        <v>2505</v>
      </c>
      <c r="L131" s="77"/>
      <c r="M131" s="3710"/>
      <c r="N131" s="3711"/>
      <c r="O131" s="28" t="s">
        <v>1509</v>
      </c>
      <c r="P131" s="267"/>
      <c r="Q131" s="306"/>
      <c r="R131" s="77"/>
      <c r="S131" s="77"/>
      <c r="T131" s="77"/>
      <c r="U131" s="77"/>
      <c r="V131" s="77"/>
      <c r="W131" s="77"/>
      <c r="X131" s="77"/>
      <c r="Y131" s="77"/>
      <c r="Z131" s="77"/>
      <c r="AA131" s="77"/>
      <c r="AB131" s="77"/>
      <c r="AC131" s="77"/>
      <c r="AD131" s="77"/>
      <c r="AE131" s="77"/>
    </row>
    <row r="132" spans="1:31" ht="12" customHeight="1">
      <c r="A132" s="22"/>
      <c r="B132" s="16" t="s">
        <v>1512</v>
      </c>
      <c r="C132" s="13" t="s">
        <v>2506</v>
      </c>
      <c r="D132" s="13"/>
      <c r="E132" s="13"/>
      <c r="F132" s="13"/>
      <c r="G132" s="13"/>
      <c r="H132" s="77"/>
      <c r="I132" s="77"/>
      <c r="J132" s="77"/>
      <c r="K132" s="13" t="s">
        <v>2505</v>
      </c>
      <c r="L132" s="77"/>
      <c r="M132" s="3710"/>
      <c r="N132" s="3711"/>
      <c r="O132" s="28" t="s">
        <v>1512</v>
      </c>
      <c r="P132" s="267"/>
      <c r="Q132" s="306"/>
      <c r="R132" s="77"/>
      <c r="S132" s="77"/>
      <c r="T132" s="77"/>
      <c r="U132" s="77"/>
      <c r="V132" s="77"/>
      <c r="W132" s="77"/>
      <c r="X132" s="77"/>
      <c r="Y132" s="77"/>
      <c r="Z132" s="77"/>
      <c r="AA132" s="77"/>
      <c r="AB132" s="77"/>
      <c r="AC132" s="77"/>
      <c r="AD132" s="77"/>
      <c r="AE132" s="77"/>
    </row>
    <row r="133" spans="1:31" ht="12" customHeight="1">
      <c r="A133" s="22" t="s">
        <v>211</v>
      </c>
      <c r="B133" s="73" t="s">
        <v>1471</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211</v>
      </c>
      <c r="M133" s="4624" t="s">
        <v>2507</v>
      </c>
      <c r="N133" s="4625"/>
      <c r="O133" s="77"/>
      <c r="P133" s="4626" t="s">
        <v>726</v>
      </c>
      <c r="Q133" s="4627"/>
      <c r="R133" s="77"/>
      <c r="S133" s="77"/>
      <c r="T133" s="77"/>
      <c r="U133" s="77"/>
      <c r="V133" s="77"/>
      <c r="W133" s="77"/>
      <c r="X133" s="77"/>
      <c r="Y133" s="77"/>
      <c r="Z133" s="77"/>
      <c r="AA133" s="77"/>
      <c r="AB133" s="77"/>
      <c r="AC133" s="77"/>
      <c r="AD133" s="77"/>
      <c r="AE133" s="77"/>
    </row>
    <row r="134" spans="1:31" ht="12" customHeight="1">
      <c r="A134" s="22" t="s">
        <v>232</v>
      </c>
      <c r="B134" s="73" t="s">
        <v>1473</v>
      </c>
      <c r="C134" s="77"/>
      <c r="D134" s="73"/>
      <c r="E134" s="73"/>
      <c r="F134" s="73"/>
      <c r="G134" s="73"/>
      <c r="H134" s="73"/>
      <c r="I134" s="77"/>
      <c r="J134" s="28" t="s">
        <v>232</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234</v>
      </c>
      <c r="B135" s="3637" t="s">
        <v>2508</v>
      </c>
      <c r="C135" s="3637"/>
      <c r="D135" s="3637"/>
      <c r="E135" s="3637"/>
      <c r="F135" s="3637"/>
      <c r="G135" s="3637"/>
      <c r="H135" s="3637"/>
      <c r="I135" s="3637"/>
      <c r="J135" s="3637"/>
      <c r="K135" s="3637"/>
      <c r="L135" s="3637"/>
      <c r="M135" s="3637"/>
      <c r="N135" s="3637"/>
      <c r="O135" s="84" t="s">
        <v>234</v>
      </c>
      <c r="P135" s="2590"/>
      <c r="Q135" s="2588"/>
      <c r="R135" s="77"/>
      <c r="S135" s="77"/>
      <c r="T135" s="77"/>
      <c r="U135" s="77"/>
      <c r="V135" s="77"/>
      <c r="W135" s="77"/>
      <c r="X135" s="77"/>
      <c r="Y135" s="77"/>
      <c r="Z135" s="77"/>
      <c r="AA135" s="77"/>
      <c r="AB135" s="77"/>
      <c r="AC135" s="77"/>
      <c r="AD135" s="77"/>
      <c r="AE135" s="77"/>
    </row>
    <row r="136" spans="1:31" ht="12" customHeight="1">
      <c r="A136" s="77"/>
      <c r="B136" s="74" t="s">
        <v>1440</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8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1437</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8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25" customHeight="1">
      <c r="A141" s="2540" t="s">
        <v>1478</v>
      </c>
      <c r="B141" s="2540" t="s">
        <v>1476</v>
      </c>
      <c r="C141" s="2540"/>
      <c r="D141" s="2574"/>
      <c r="E141" s="2574"/>
      <c r="F141" s="2574"/>
      <c r="G141" s="2574"/>
      <c r="H141" s="2574"/>
      <c r="I141" s="2574"/>
      <c r="J141" s="2574"/>
      <c r="K141" s="2574"/>
      <c r="L141" s="2574"/>
      <c r="M141" s="2574"/>
      <c r="N141" s="77"/>
      <c r="O141" s="66" t="s">
        <v>1434</v>
      </c>
      <c r="P141" s="3646"/>
      <c r="Q141" s="3647"/>
      <c r="R141" s="77"/>
      <c r="S141" s="77"/>
      <c r="T141" s="77"/>
      <c r="U141" s="77"/>
      <c r="V141" s="77"/>
      <c r="W141" s="77"/>
      <c r="X141" s="77"/>
      <c r="Y141" s="77"/>
      <c r="Z141" s="77"/>
      <c r="AA141" s="77"/>
      <c r="AB141" s="77"/>
      <c r="AC141" s="77"/>
      <c r="AD141" s="77"/>
      <c r="AE141" s="77"/>
    </row>
    <row r="142" spans="1:31" ht="21.75" customHeight="1">
      <c r="A142" s="75" t="s">
        <v>199</v>
      </c>
      <c r="B142" s="3637" t="s">
        <v>2509</v>
      </c>
      <c r="C142" s="3637"/>
      <c r="D142" s="3637"/>
      <c r="E142" s="3637"/>
      <c r="F142" s="3637"/>
      <c r="G142" s="3637"/>
      <c r="H142" s="3637"/>
      <c r="I142" s="3637"/>
      <c r="J142" s="3637"/>
      <c r="K142" s="3637"/>
      <c r="L142" s="3637"/>
      <c r="M142" s="3637"/>
      <c r="N142" s="3637"/>
      <c r="O142" s="84" t="s">
        <v>199</v>
      </c>
      <c r="P142" s="1376"/>
      <c r="Q142" s="1377"/>
      <c r="R142" s="77"/>
      <c r="S142" s="77"/>
      <c r="T142" s="77"/>
      <c r="U142" s="77"/>
      <c r="V142" s="77"/>
      <c r="W142" s="77"/>
      <c r="X142" s="77"/>
      <c r="Y142" s="77"/>
      <c r="Z142" s="77"/>
      <c r="AA142" s="77"/>
      <c r="AB142" s="77"/>
      <c r="AC142" s="77"/>
      <c r="AD142" s="77"/>
      <c r="AE142" s="77"/>
    </row>
    <row r="143" spans="1:31" ht="22.5" customHeight="1">
      <c r="A143" s="75" t="s">
        <v>211</v>
      </c>
      <c r="B143" s="3637" t="s">
        <v>2510</v>
      </c>
      <c r="C143" s="3637"/>
      <c r="D143" s="3637"/>
      <c r="E143" s="3637"/>
      <c r="F143" s="3637"/>
      <c r="G143" s="3637"/>
      <c r="H143" s="3637"/>
      <c r="I143" s="3637"/>
      <c r="J143" s="3637"/>
      <c r="K143" s="3637"/>
      <c r="L143" s="3637"/>
      <c r="M143" s="3637"/>
      <c r="N143" s="3637"/>
      <c r="O143" s="84" t="s">
        <v>211</v>
      </c>
      <c r="P143" s="2589"/>
      <c r="Q143" s="2587"/>
      <c r="R143" s="77"/>
      <c r="S143" s="77"/>
      <c r="T143" s="77"/>
      <c r="U143" s="77"/>
      <c r="V143" s="77"/>
      <c r="W143" s="77"/>
      <c r="X143" s="77"/>
      <c r="Y143" s="77"/>
      <c r="Z143" s="77"/>
      <c r="AA143" s="77"/>
      <c r="AB143" s="77"/>
      <c r="AC143" s="77"/>
      <c r="AD143" s="77"/>
      <c r="AE143" s="77"/>
    </row>
    <row r="144" spans="1:31" ht="22.5" customHeight="1">
      <c r="A144" s="75" t="s">
        <v>232</v>
      </c>
      <c r="B144" s="3637" t="s">
        <v>2511</v>
      </c>
      <c r="C144" s="3637"/>
      <c r="D144" s="3637"/>
      <c r="E144" s="3637"/>
      <c r="F144" s="3637"/>
      <c r="G144" s="3637"/>
      <c r="H144" s="3637"/>
      <c r="I144" s="3637"/>
      <c r="J144" s="3637"/>
      <c r="K144" s="3637"/>
      <c r="L144" s="3637"/>
      <c r="M144" s="3637"/>
      <c r="N144" s="3637"/>
      <c r="O144" s="84" t="s">
        <v>232</v>
      </c>
      <c r="P144" s="2589"/>
      <c r="Q144" s="2587"/>
      <c r="R144" s="77"/>
      <c r="S144" s="77"/>
      <c r="T144" s="77"/>
      <c r="U144" s="77"/>
      <c r="V144" s="77"/>
      <c r="W144" s="77"/>
      <c r="X144" s="77"/>
      <c r="Y144" s="77"/>
      <c r="Z144" s="77"/>
      <c r="AA144" s="77"/>
      <c r="AB144" s="77"/>
      <c r="AC144" s="77"/>
      <c r="AD144" s="77"/>
      <c r="AE144" s="77"/>
    </row>
    <row r="145" spans="1:44" ht="21.75" customHeight="1">
      <c r="A145" s="75" t="s">
        <v>234</v>
      </c>
      <c r="B145" s="3637" t="s">
        <v>2512</v>
      </c>
      <c r="C145" s="3637"/>
      <c r="D145" s="3637"/>
      <c r="E145" s="3637"/>
      <c r="F145" s="3637"/>
      <c r="G145" s="3637"/>
      <c r="H145" s="3637"/>
      <c r="I145" s="3637"/>
      <c r="J145" s="3637"/>
      <c r="K145" s="3637"/>
      <c r="L145" s="3637"/>
      <c r="M145" s="3637"/>
      <c r="N145" s="3637"/>
      <c r="O145" s="84" t="s">
        <v>234</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1440</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8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1437</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8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25" customHeight="1">
      <c r="A151" s="2509" t="s">
        <v>1481</v>
      </c>
      <c r="B151" s="3075" t="s">
        <v>1479</v>
      </c>
      <c r="C151" s="3075"/>
      <c r="D151" s="3075"/>
      <c r="E151" s="146"/>
      <c r="F151" s="77"/>
      <c r="G151" s="77"/>
      <c r="H151" s="77"/>
      <c r="I151" s="77"/>
      <c r="J151" s="77"/>
      <c r="K151" s="77"/>
      <c r="L151" s="77"/>
      <c r="M151" s="77"/>
      <c r="N151" s="644" t="s">
        <v>2452</v>
      </c>
      <c r="O151" s="66" t="s">
        <v>1434</v>
      </c>
      <c r="P151" s="3646"/>
      <c r="Q151" s="3647"/>
      <c r="R151" s="646" t="s">
        <v>2453</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85" customHeight="1">
      <c r="B152" s="25" t="s">
        <v>2513</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199</v>
      </c>
      <c r="B153" s="266" t="s">
        <v>2514</v>
      </c>
      <c r="C153" s="77"/>
      <c r="D153" s="266"/>
      <c r="E153" s="266"/>
      <c r="F153" s="266"/>
      <c r="G153" s="266"/>
      <c r="H153" s="266"/>
      <c r="I153" s="266"/>
      <c r="J153" s="266"/>
      <c r="K153" s="266"/>
      <c r="L153" s="266"/>
      <c r="M153" s="266"/>
      <c r="N153" s="77"/>
      <c r="O153" s="84" t="s">
        <v>199</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211</v>
      </c>
      <c r="B154" s="266" t="s">
        <v>2515</v>
      </c>
      <c r="C154" s="77"/>
      <c r="D154" s="266"/>
      <c r="E154" s="266"/>
      <c r="F154" s="266"/>
      <c r="G154" s="266"/>
      <c r="H154" s="266"/>
      <c r="I154" s="266"/>
      <c r="J154" s="266"/>
      <c r="K154" s="266"/>
      <c r="L154" s="266"/>
      <c r="M154" s="266"/>
      <c r="N154" s="77"/>
      <c r="O154" s="84" t="s">
        <v>211</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232</v>
      </c>
      <c r="B155" s="266" t="s">
        <v>2516</v>
      </c>
      <c r="C155" s="77"/>
      <c r="D155" s="266"/>
      <c r="E155" s="266"/>
      <c r="F155" s="266"/>
      <c r="G155" s="266"/>
      <c r="H155" s="266"/>
      <c r="I155" s="266"/>
      <c r="J155" s="73" t="s">
        <v>2517</v>
      </c>
      <c r="K155" s="77"/>
      <c r="L155" s="266"/>
      <c r="M155" s="266"/>
      <c r="N155" s="77"/>
      <c r="O155" s="84" t="s">
        <v>232</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1509</v>
      </c>
      <c r="C156" s="16" t="s">
        <v>2518</v>
      </c>
      <c r="D156" s="77"/>
      <c r="E156" s="77"/>
      <c r="F156" s="77"/>
      <c r="G156" s="266"/>
      <c r="H156" s="266"/>
      <c r="I156" s="77"/>
      <c r="J156" s="266"/>
      <c r="K156" s="266"/>
      <c r="L156" s="266"/>
      <c r="M156" s="266"/>
      <c r="N156" s="77"/>
      <c r="O156" s="246" t="s">
        <v>1509</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1512</v>
      </c>
      <c r="C157" s="16" t="s">
        <v>2519</v>
      </c>
      <c r="D157" s="77"/>
      <c r="E157" s="77"/>
      <c r="F157" s="77"/>
      <c r="G157" s="266"/>
      <c r="H157" s="266"/>
      <c r="I157" s="266"/>
      <c r="J157" s="266"/>
      <c r="K157" s="266"/>
      <c r="L157" s="266"/>
      <c r="M157" s="266"/>
      <c r="N157" s="77"/>
      <c r="O157" s="246" t="s">
        <v>1512</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1514</v>
      </c>
      <c r="C158" s="3637" t="s">
        <v>2520</v>
      </c>
      <c r="D158" s="3637"/>
      <c r="E158" s="3637"/>
      <c r="F158" s="3637"/>
      <c r="G158" s="3637"/>
      <c r="H158" s="3637"/>
      <c r="I158" s="3637"/>
      <c r="J158" s="3637"/>
      <c r="K158" s="3637"/>
      <c r="L158" s="3637"/>
      <c r="M158" s="3637"/>
      <c r="N158" s="3637"/>
      <c r="O158" s="84" t="s">
        <v>1514</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1516</v>
      </c>
      <c r="C159" s="16" t="s">
        <v>2521</v>
      </c>
      <c r="D159" s="77"/>
      <c r="E159" s="77"/>
      <c r="F159" s="77"/>
      <c r="G159" s="266"/>
      <c r="H159" s="266"/>
      <c r="I159" s="266"/>
      <c r="J159" s="266"/>
      <c r="K159" s="266"/>
      <c r="L159" s="266"/>
      <c r="M159" s="266"/>
      <c r="N159" s="77"/>
      <c r="O159" s="246" t="s">
        <v>1516</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2314</v>
      </c>
      <c r="C160" s="3637" t="s">
        <v>2522</v>
      </c>
      <c r="D160" s="3637"/>
      <c r="E160" s="3637"/>
      <c r="F160" s="3637"/>
      <c r="G160" s="3637"/>
      <c r="H160" s="3637"/>
      <c r="I160" s="3637"/>
      <c r="J160" s="3637"/>
      <c r="K160" s="3637"/>
      <c r="L160" s="3637"/>
      <c r="M160" s="3637"/>
      <c r="N160" s="3637"/>
      <c r="O160" s="84" t="s">
        <v>2314</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2316</v>
      </c>
      <c r="C161" s="3637" t="s">
        <v>2523</v>
      </c>
      <c r="D161" s="3637"/>
      <c r="E161" s="3637"/>
      <c r="F161" s="3637"/>
      <c r="G161" s="3637"/>
      <c r="H161" s="3637"/>
      <c r="I161" s="3637"/>
      <c r="J161" s="3637"/>
      <c r="K161" s="3637"/>
      <c r="L161" s="3637"/>
      <c r="M161" s="3637"/>
      <c r="N161" s="3637"/>
      <c r="O161" s="84" t="s">
        <v>2316</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234</v>
      </c>
      <c r="B162" s="3637" t="s">
        <v>2524</v>
      </c>
      <c r="C162" s="3637"/>
      <c r="D162" s="3637"/>
      <c r="E162" s="3637"/>
      <c r="F162" s="3637"/>
      <c r="G162" s="3637"/>
      <c r="H162" s="3637"/>
      <c r="I162" s="3637"/>
      <c r="J162" s="3637"/>
      <c r="K162" s="3637"/>
      <c r="L162" s="3637"/>
      <c r="M162" s="3637"/>
      <c r="N162" s="3637"/>
      <c r="O162" s="84" t="s">
        <v>234</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241</v>
      </c>
      <c r="B163" s="266" t="s">
        <v>2525</v>
      </c>
      <c r="C163" s="77"/>
      <c r="D163" s="266"/>
      <c r="E163" s="266"/>
      <c r="F163" s="266"/>
      <c r="G163" s="266"/>
      <c r="H163" s="266"/>
      <c r="I163" s="266"/>
      <c r="J163" s="266"/>
      <c r="K163" s="266"/>
      <c r="L163" s="266"/>
      <c r="M163" s="266"/>
      <c r="N163" s="77"/>
      <c r="O163" s="84" t="s">
        <v>241</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1440</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8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1437</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8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25" customHeight="1">
      <c r="A169" s="2540" t="s">
        <v>1489</v>
      </c>
      <c r="B169" s="2540" t="s">
        <v>1482</v>
      </c>
      <c r="C169" s="2540"/>
      <c r="D169" s="2574"/>
      <c r="E169" s="2534"/>
      <c r="F169" s="146"/>
      <c r="G169" s="2574"/>
      <c r="H169" s="77"/>
      <c r="I169" s="77"/>
      <c r="J169" s="337"/>
      <c r="K169" s="337"/>
      <c r="L169" s="337"/>
      <c r="M169" s="337"/>
      <c r="N169" s="644" t="s">
        <v>2452</v>
      </c>
      <c r="O169" s="66" t="s">
        <v>1434</v>
      </c>
      <c r="P169" s="3646"/>
      <c r="Q169" s="3647"/>
      <c r="R169" s="646" t="s">
        <v>2453</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2513</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2526</v>
      </c>
      <c r="C171" s="77"/>
      <c r="D171" s="73"/>
      <c r="E171" s="73"/>
      <c r="F171" s="73"/>
      <c r="G171" s="73"/>
      <c r="H171" s="28" t="s">
        <v>1509</v>
      </c>
      <c r="I171" s="13" t="s">
        <v>2527</v>
      </c>
      <c r="J171" s="3762" t="s">
        <v>2528</v>
      </c>
      <c r="K171" s="3763"/>
      <c r="L171" s="3763"/>
      <c r="M171" s="3763"/>
      <c r="N171" s="3764"/>
      <c r="O171" s="28" t="s">
        <v>1509</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1440</v>
      </c>
      <c r="C172" s="49"/>
      <c r="D172" s="49"/>
      <c r="E172" s="49"/>
      <c r="F172" s="49"/>
      <c r="G172" s="77"/>
      <c r="H172" s="28" t="s">
        <v>1512</v>
      </c>
      <c r="I172" s="13" t="s">
        <v>789</v>
      </c>
      <c r="J172" s="3676" t="s">
        <v>2528</v>
      </c>
      <c r="K172" s="3677"/>
      <c r="L172" s="3677"/>
      <c r="M172" s="3677"/>
      <c r="N172" s="3678"/>
      <c r="O172" s="28" t="s">
        <v>1512</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1437</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5"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25" customHeight="1">
      <c r="A177" s="2540" t="s">
        <v>1496</v>
      </c>
      <c r="B177" s="3" t="s">
        <v>2529</v>
      </c>
      <c r="C177" s="3"/>
      <c r="D177" s="38"/>
      <c r="E177" s="38"/>
      <c r="F177" s="38"/>
      <c r="G177" s="2574"/>
      <c r="H177" s="2574"/>
      <c r="I177" s="1139"/>
      <c r="J177" s="2574"/>
      <c r="K177" s="2574"/>
      <c r="L177" s="2574"/>
      <c r="M177" s="2574"/>
      <c r="N177" s="644" t="s">
        <v>2452</v>
      </c>
      <c r="O177" s="66" t="s">
        <v>1434</v>
      </c>
      <c r="P177" s="3646"/>
      <c r="Q177" s="3647"/>
      <c r="R177" s="646" t="s">
        <v>2453</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2513</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199</v>
      </c>
      <c r="B179" s="3637" t="s">
        <v>2530</v>
      </c>
      <c r="C179" s="3637"/>
      <c r="D179" s="3637"/>
      <c r="E179" s="3637"/>
      <c r="F179" s="3637"/>
      <c r="G179" s="3637"/>
      <c r="H179" s="28" t="s">
        <v>1509</v>
      </c>
      <c r="I179" s="13" t="s">
        <v>2531</v>
      </c>
      <c r="J179" s="3762" t="s">
        <v>2528</v>
      </c>
      <c r="K179" s="3763"/>
      <c r="L179" s="3763"/>
      <c r="M179" s="3763"/>
      <c r="N179" s="3764"/>
      <c r="O179" s="84" t="s">
        <v>2532</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1512</v>
      </c>
      <c r="I180" s="13" t="s">
        <v>2533</v>
      </c>
      <c r="J180" s="3676" t="s">
        <v>2528</v>
      </c>
      <c r="K180" s="3677"/>
      <c r="L180" s="3677"/>
      <c r="M180" s="3677"/>
      <c r="N180" s="3678"/>
      <c r="O180" s="84" t="s">
        <v>1512</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211</v>
      </c>
      <c r="B181" s="16" t="s">
        <v>1509</v>
      </c>
      <c r="C181" s="13" t="s">
        <v>2534</v>
      </c>
      <c r="D181" s="77"/>
      <c r="E181" s="13"/>
      <c r="F181" s="13"/>
      <c r="G181" s="13"/>
      <c r="H181" s="13"/>
      <c r="I181" s="13"/>
      <c r="J181" s="13"/>
      <c r="K181" s="43"/>
      <c r="L181" s="13"/>
      <c r="M181" s="13"/>
      <c r="N181" s="77"/>
      <c r="O181" s="84" t="s">
        <v>2535</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1512</v>
      </c>
      <c r="C182" s="13" t="s">
        <v>2536</v>
      </c>
      <c r="D182" s="13"/>
      <c r="E182" s="13"/>
      <c r="F182" s="13"/>
      <c r="G182" s="13"/>
      <c r="H182" s="13"/>
      <c r="I182" s="13"/>
      <c r="J182" s="13"/>
      <c r="K182" s="43"/>
      <c r="L182" s="13"/>
      <c r="M182" s="13"/>
      <c r="N182" s="77"/>
      <c r="O182" s="84" t="s">
        <v>1512</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232</v>
      </c>
      <c r="B183" s="13" t="s">
        <v>2537</v>
      </c>
      <c r="C183" s="77"/>
      <c r="D183" s="13"/>
      <c r="E183" s="13"/>
      <c r="F183" s="13"/>
      <c r="G183" s="13"/>
      <c r="H183" s="13"/>
      <c r="I183" s="13"/>
      <c r="J183" s="13"/>
      <c r="K183" s="43"/>
      <c r="L183" s="13"/>
      <c r="M183" s="13"/>
      <c r="N183" s="77"/>
      <c r="O183" s="28" t="s">
        <v>232</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1440</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1437</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25" customHeight="1">
      <c r="A189" s="2540" t="s">
        <v>1518</v>
      </c>
      <c r="B189" s="2540" t="s">
        <v>1497</v>
      </c>
      <c r="C189" s="56"/>
      <c r="D189" s="2574"/>
      <c r="E189" s="2574"/>
      <c r="F189" s="2574"/>
      <c r="G189" s="2574"/>
      <c r="H189" s="2574"/>
      <c r="I189" s="2574"/>
      <c r="J189" s="2574"/>
      <c r="K189" s="2574"/>
      <c r="L189" s="2574"/>
      <c r="M189" s="2574"/>
      <c r="N189" s="77"/>
      <c r="O189" s="66" t="s">
        <v>1434</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2538</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199</v>
      </c>
      <c r="B191" s="13" t="s">
        <v>2539</v>
      </c>
      <c r="C191" s="77"/>
      <c r="D191" s="43"/>
      <c r="E191" s="43"/>
      <c r="F191" s="43"/>
      <c r="G191" s="43"/>
      <c r="H191" s="43"/>
      <c r="I191" s="43"/>
      <c r="J191" s="43"/>
      <c r="K191" s="43"/>
      <c r="L191" s="43"/>
      <c r="M191" s="43"/>
      <c r="N191" s="77"/>
      <c r="O191" s="28" t="s">
        <v>199</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1509</v>
      </c>
      <c r="C192" s="13" t="s">
        <v>1500</v>
      </c>
      <c r="D192" s="77"/>
      <c r="E192" s="13"/>
      <c r="F192" s="13"/>
      <c r="G192" s="13"/>
      <c r="H192" s="13"/>
      <c r="I192" s="43"/>
      <c r="J192" s="28" t="s">
        <v>2532</v>
      </c>
      <c r="K192" s="3762" t="s">
        <v>726</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1512</v>
      </c>
      <c r="C193" s="16" t="s">
        <v>1502</v>
      </c>
      <c r="D193" s="77"/>
      <c r="E193" s="16"/>
      <c r="F193" s="16"/>
      <c r="G193" s="16"/>
      <c r="H193" s="16"/>
      <c r="I193" s="43"/>
      <c r="J193" s="28" t="s">
        <v>2540</v>
      </c>
      <c r="K193" s="3745" t="s">
        <v>726</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1504</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1514</v>
      </c>
      <c r="C195" s="16" t="s">
        <v>1505</v>
      </c>
      <c r="D195" s="77"/>
      <c r="E195" s="16"/>
      <c r="F195" s="16"/>
      <c r="G195" s="16"/>
      <c r="H195" s="16"/>
      <c r="I195" s="43"/>
      <c r="J195" s="28" t="s">
        <v>2541</v>
      </c>
      <c r="K195" s="3739" t="s">
        <v>726</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211</v>
      </c>
      <c r="B196" s="13" t="s">
        <v>2542</v>
      </c>
      <c r="C196" s="77"/>
      <c r="D196" s="13"/>
      <c r="E196" s="13"/>
      <c r="F196" s="13"/>
      <c r="G196" s="13"/>
      <c r="H196" s="13"/>
      <c r="I196" s="13"/>
      <c r="J196" s="13"/>
      <c r="K196" s="43"/>
      <c r="L196" s="43"/>
      <c r="M196" s="43"/>
      <c r="N196" s="43"/>
      <c r="O196" s="28" t="s">
        <v>211</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2543</v>
      </c>
      <c r="C197" s="77"/>
      <c r="D197" s="13"/>
      <c r="E197" s="13"/>
      <c r="F197" s="13"/>
      <c r="G197" s="13"/>
      <c r="H197" s="13"/>
      <c r="I197" s="13"/>
      <c r="J197" s="13"/>
      <c r="K197" s="43"/>
      <c r="L197" s="43"/>
      <c r="M197" s="43"/>
      <c r="N197" s="28" t="s">
        <v>648</v>
      </c>
      <c r="O197" s="904" t="e">
        <f>#REF!</f>
        <v>#REF!</v>
      </c>
      <c r="P197" s="3657" t="s">
        <v>2544</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1509</v>
      </c>
      <c r="C198" s="13" t="s">
        <v>2545</v>
      </c>
      <c r="D198" s="13"/>
      <c r="E198" s="13"/>
      <c r="F198" s="13"/>
      <c r="G198" s="77"/>
      <c r="H198" s="28" t="s">
        <v>2546</v>
      </c>
      <c r="I198" s="13" t="s">
        <v>2547</v>
      </c>
      <c r="J198" s="77"/>
      <c r="K198" s="77"/>
      <c r="L198" s="77"/>
      <c r="M198" s="43"/>
      <c r="N198" s="43"/>
      <c r="O198" s="143"/>
      <c r="P198" s="660" t="s">
        <v>2548</v>
      </c>
      <c r="Q198" s="896" t="s">
        <v>2549</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216</v>
      </c>
      <c r="C199" s="3725" t="s">
        <v>1515</v>
      </c>
      <c r="D199" s="3726"/>
      <c r="E199" s="3726"/>
      <c r="F199" s="3726"/>
      <c r="G199" s="3727"/>
      <c r="H199" s="28" t="s">
        <v>216</v>
      </c>
      <c r="I199" s="3728" t="s">
        <v>2550</v>
      </c>
      <c r="J199" s="3729"/>
      <c r="K199" s="3729"/>
      <c r="L199" s="3729"/>
      <c r="M199" s="3729"/>
      <c r="N199" s="3729"/>
      <c r="O199" s="3730"/>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219</v>
      </c>
      <c r="C200" s="3742" t="s">
        <v>1515</v>
      </c>
      <c r="D200" s="3743"/>
      <c r="E200" s="3743"/>
      <c r="F200" s="3743"/>
      <c r="G200" s="3744"/>
      <c r="H200" s="28" t="s">
        <v>219</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221</v>
      </c>
      <c r="C201" s="3742" t="s">
        <v>1515</v>
      </c>
      <c r="D201" s="3743"/>
      <c r="E201" s="3743"/>
      <c r="F201" s="3743"/>
      <c r="G201" s="3744"/>
      <c r="H201" s="28" t="s">
        <v>221</v>
      </c>
      <c r="I201" s="2724" t="s">
        <v>2550</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2067</v>
      </c>
      <c r="C202" s="3694" t="s">
        <v>1515</v>
      </c>
      <c r="D202" s="3695"/>
      <c r="E202" s="3695"/>
      <c r="F202" s="3695"/>
      <c r="G202" s="3696"/>
      <c r="H202" s="28" t="s">
        <v>2067</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232</v>
      </c>
      <c r="B203" s="13" t="s">
        <v>2551</v>
      </c>
      <c r="C203" s="13"/>
      <c r="D203" s="77"/>
      <c r="E203" s="13"/>
      <c r="F203" s="13"/>
      <c r="G203" s="13"/>
      <c r="H203" s="13"/>
      <c r="I203" s="13"/>
      <c r="J203" s="13"/>
      <c r="K203" s="43"/>
      <c r="L203" s="13"/>
      <c r="M203" s="13"/>
      <c r="N203" s="77"/>
      <c r="O203" s="28" t="s">
        <v>232</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1509</v>
      </c>
      <c r="C204" s="13" t="s">
        <v>2552</v>
      </c>
      <c r="D204" s="77"/>
      <c r="E204" s="13"/>
      <c r="F204" s="13"/>
      <c r="G204" s="77"/>
      <c r="H204" s="77"/>
      <c r="I204" s="77"/>
      <c r="J204" s="77"/>
      <c r="K204" s="77"/>
      <c r="L204" s="11"/>
      <c r="M204" s="11"/>
      <c r="N204" s="77"/>
      <c r="O204" s="28" t="s">
        <v>1509</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1512</v>
      </c>
      <c r="C205" s="16" t="s">
        <v>2553</v>
      </c>
      <c r="D205" s="77"/>
      <c r="E205" s="16"/>
      <c r="F205" s="16"/>
      <c r="G205" s="77"/>
      <c r="H205" s="77"/>
      <c r="I205" s="77"/>
      <c r="J205" s="77"/>
      <c r="K205" s="77"/>
      <c r="L205" s="11"/>
      <c r="M205" s="11"/>
      <c r="N205" s="77"/>
      <c r="O205" s="28" t="s">
        <v>1512</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1514</v>
      </c>
      <c r="C206" s="16" t="s">
        <v>2554</v>
      </c>
      <c r="D206" s="77"/>
      <c r="E206" s="16"/>
      <c r="F206" s="16"/>
      <c r="G206" s="16"/>
      <c r="H206" s="16"/>
      <c r="I206" s="43"/>
      <c r="J206" s="11"/>
      <c r="K206" s="43"/>
      <c r="L206" s="11"/>
      <c r="M206" s="11"/>
      <c r="N206" s="77"/>
      <c r="O206" s="28" t="s">
        <v>1514</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1516</v>
      </c>
      <c r="C207" s="16" t="s">
        <v>2555</v>
      </c>
      <c r="D207" s="77"/>
      <c r="E207" s="16"/>
      <c r="F207" s="16"/>
      <c r="G207" s="16"/>
      <c r="H207" s="16"/>
      <c r="I207" s="43"/>
      <c r="J207" s="11"/>
      <c r="K207" s="43"/>
      <c r="L207" s="11"/>
      <c r="M207" s="11"/>
      <c r="N207" s="77"/>
      <c r="O207" s="28" t="s">
        <v>1516</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2314</v>
      </c>
      <c r="C208" s="16" t="s">
        <v>2556</v>
      </c>
      <c r="D208" s="77"/>
      <c r="E208" s="16"/>
      <c r="F208" s="16"/>
      <c r="G208" s="16"/>
      <c r="H208" s="16"/>
      <c r="I208" s="43"/>
      <c r="J208" s="11"/>
      <c r="K208" s="43"/>
      <c r="L208" s="11"/>
      <c r="M208" s="11"/>
      <c r="N208" s="77"/>
      <c r="O208" s="28" t="s">
        <v>2314</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2316</v>
      </c>
      <c r="C209" s="3637" t="s">
        <v>2557</v>
      </c>
      <c r="D209" s="3637"/>
      <c r="E209" s="3637"/>
      <c r="F209" s="3637"/>
      <c r="G209" s="3637"/>
      <c r="H209" s="3637"/>
      <c r="I209" s="3637"/>
      <c r="J209" s="3637"/>
      <c r="K209" s="3637"/>
      <c r="L209" s="3637"/>
      <c r="M209" s="3637"/>
      <c r="N209" s="3637"/>
      <c r="O209" s="84" t="s">
        <v>2316</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234</v>
      </c>
      <c r="B210" s="13" t="s">
        <v>2558</v>
      </c>
      <c r="C210" s="13"/>
      <c r="D210" s="77"/>
      <c r="E210" s="13"/>
      <c r="F210" s="13"/>
      <c r="G210" s="13"/>
      <c r="H210" s="13"/>
      <c r="I210" s="13"/>
      <c r="J210" s="13"/>
      <c r="K210" s="43"/>
      <c r="L210" s="77"/>
      <c r="M210" s="77"/>
      <c r="N210" s="288" t="str">
        <f>'Part VII-Threshold Criteria OLD'!J35</f>
        <v>&lt;&lt; Select PROPOSED Tenancy &gt;&gt;</v>
      </c>
      <c r="O210" s="28" t="s">
        <v>234</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1509</v>
      </c>
      <c r="C211" s="13" t="s">
        <v>2559</v>
      </c>
      <c r="D211" s="77"/>
      <c r="E211" s="43"/>
      <c r="F211" s="43"/>
      <c r="G211" s="13"/>
      <c r="H211" s="16"/>
      <c r="I211" s="43"/>
      <c r="J211" s="16"/>
      <c r="K211" s="43"/>
      <c r="L211" s="16"/>
      <c r="M211" s="16"/>
      <c r="N211" s="77"/>
      <c r="O211" s="28" t="s">
        <v>1509</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1512</v>
      </c>
      <c r="C212" s="13" t="s">
        <v>2560</v>
      </c>
      <c r="D212" s="77"/>
      <c r="E212" s="43"/>
      <c r="F212" s="43"/>
      <c r="G212" s="16"/>
      <c r="H212" s="16"/>
      <c r="I212" s="43"/>
      <c r="J212" s="16"/>
      <c r="K212" s="43"/>
      <c r="L212" s="16"/>
      <c r="M212" s="16"/>
      <c r="N212" s="77"/>
      <c r="O212" s="28" t="s">
        <v>1512</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1440</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2400</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1437</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25" customHeight="1">
      <c r="A217" s="2540" t="s">
        <v>1524</v>
      </c>
      <c r="B217" s="2540" t="s">
        <v>2561</v>
      </c>
      <c r="C217" s="16"/>
      <c r="D217" s="2574"/>
      <c r="E217" s="2574"/>
      <c r="F217" s="2574"/>
      <c r="G217" s="2574"/>
      <c r="H217" s="2574"/>
      <c r="I217" s="2574"/>
      <c r="J217" s="2574"/>
      <c r="K217" s="288" t="s">
        <v>2562</v>
      </c>
      <c r="L217" s="971" t="e">
        <f>#REF!</f>
        <v>#REF!</v>
      </c>
      <c r="M217" s="2574"/>
      <c r="N217" s="77"/>
      <c r="O217" s="66" t="s">
        <v>1434</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199</v>
      </c>
      <c r="B218" s="73" t="s">
        <v>2563</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2564</v>
      </c>
      <c r="C219" s="43"/>
      <c r="D219" s="43"/>
      <c r="E219" s="43"/>
      <c r="F219" s="43"/>
      <c r="G219" s="43"/>
      <c r="H219" s="43"/>
      <c r="I219" s="43"/>
      <c r="J219" s="2532" t="s">
        <v>2565</v>
      </c>
      <c r="K219" s="13" t="s">
        <v>2564</v>
      </c>
      <c r="L219" s="43"/>
      <c r="M219" s="43"/>
      <c r="N219" s="43"/>
      <c r="O219" s="43"/>
      <c r="P219" s="43"/>
      <c r="Q219" s="2532" t="s">
        <v>2565</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211</v>
      </c>
      <c r="B228" s="4629" t="s">
        <v>2566</v>
      </c>
      <c r="C228" s="4618"/>
      <c r="D228" s="4630"/>
      <c r="E228" s="4630"/>
      <c r="F228" s="4630"/>
      <c r="G228" s="4630"/>
      <c r="H228" s="4630"/>
      <c r="I228" s="4327"/>
      <c r="J228" s="4327"/>
      <c r="K228" s="4630"/>
      <c r="L228" s="4617"/>
      <c r="M228" s="4618"/>
      <c r="N228" s="4618"/>
      <c r="O228" s="84" t="s">
        <v>211</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232</v>
      </c>
      <c r="B229" s="3637" t="s">
        <v>2567</v>
      </c>
      <c r="C229" s="3637"/>
      <c r="D229" s="3637"/>
      <c r="E229" s="3637"/>
      <c r="F229" s="3637"/>
      <c r="G229" s="3637"/>
      <c r="H229" s="3637"/>
      <c r="I229" s="3637"/>
      <c r="J229" s="3637"/>
      <c r="K229" s="3637"/>
      <c r="L229" s="3637"/>
      <c r="M229" s="3637"/>
      <c r="N229" s="3637"/>
      <c r="O229" s="84" t="s">
        <v>232</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234</v>
      </c>
      <c r="B230" s="73" t="s">
        <v>2568</v>
      </c>
      <c r="D230" s="73"/>
      <c r="E230" s="73"/>
      <c r="F230" s="73"/>
      <c r="G230" s="73"/>
      <c r="H230" s="73"/>
      <c r="I230" s="73"/>
      <c r="J230" s="73"/>
      <c r="K230" s="73"/>
      <c r="L230" s="73"/>
      <c r="M230" s="73"/>
      <c r="O230" s="28" t="s">
        <v>234</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1440</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2400</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1437</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25" customHeight="1">
      <c r="A236" s="2540" t="s">
        <v>1527</v>
      </c>
      <c r="B236" s="3" t="s">
        <v>1519</v>
      </c>
      <c r="C236" s="3"/>
      <c r="D236" s="38"/>
      <c r="E236" s="38"/>
      <c r="F236" s="38"/>
      <c r="G236" s="38"/>
      <c r="H236" s="2574"/>
      <c r="I236" s="2574"/>
      <c r="J236" s="2574"/>
      <c r="K236" s="2574"/>
      <c r="L236" s="509"/>
      <c r="M236" s="923"/>
      <c r="N236" s="77"/>
      <c r="O236" s="66" t="s">
        <v>1434</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2569</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85" customHeight="1">
      <c r="A238" s="22" t="s">
        <v>199</v>
      </c>
      <c r="B238" s="13" t="s">
        <v>1521</v>
      </c>
      <c r="C238" s="77"/>
      <c r="D238" s="43"/>
      <c r="E238" s="13"/>
      <c r="F238" s="13"/>
      <c r="G238" s="77"/>
      <c r="H238" s="77"/>
      <c r="I238" s="77"/>
      <c r="J238" s="28" t="s">
        <v>199</v>
      </c>
      <c r="K238" s="3649" t="s">
        <v>726</v>
      </c>
      <c r="L238" s="3650"/>
      <c r="M238" s="3650"/>
      <c r="N238" s="3650"/>
      <c r="O238" s="3703"/>
      <c r="P238" s="3720" t="s">
        <v>726</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2570</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211</v>
      </c>
      <c r="B240" s="13" t="s">
        <v>2571</v>
      </c>
      <c r="C240" s="77"/>
      <c r="D240" s="13"/>
      <c r="E240" s="13"/>
      <c r="F240" s="13"/>
      <c r="G240" s="77"/>
      <c r="H240" s="77"/>
      <c r="I240" s="77"/>
      <c r="J240" s="28" t="s">
        <v>211</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1509</v>
      </c>
      <c r="C241" s="13" t="s">
        <v>1522</v>
      </c>
      <c r="D241" s="13"/>
      <c r="E241" s="13"/>
      <c r="F241" s="13"/>
      <c r="J241" s="28" t="s">
        <v>1509</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1512</v>
      </c>
      <c r="C242" s="13" t="s">
        <v>2572</v>
      </c>
      <c r="D242" s="13"/>
      <c r="E242" s="13"/>
      <c r="F242" s="13"/>
      <c r="G242" s="13"/>
      <c r="H242" s="13"/>
      <c r="I242" s="43"/>
      <c r="J242" s="43"/>
      <c r="M242" s="13"/>
      <c r="N242" s="610"/>
      <c r="O242" s="28" t="s">
        <v>1512</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1514</v>
      </c>
      <c r="C243" s="3637" t="s">
        <v>2573</v>
      </c>
      <c r="D243" s="3637"/>
      <c r="E243" s="3637"/>
      <c r="F243" s="3637"/>
      <c r="G243" s="3637"/>
      <c r="H243" s="3637"/>
      <c r="I243" s="3637"/>
      <c r="J243" s="3637"/>
      <c r="K243" s="3637"/>
      <c r="L243" s="3637"/>
      <c r="M243" s="3637"/>
      <c r="N243" s="3637"/>
      <c r="O243" s="84" t="s">
        <v>1514</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1516</v>
      </c>
      <c r="C244" s="3637" t="s">
        <v>2574</v>
      </c>
      <c r="D244" s="3637"/>
      <c r="E244" s="3637"/>
      <c r="F244" s="3637"/>
      <c r="G244" s="3637"/>
      <c r="H244" s="3637"/>
      <c r="I244" s="3637"/>
      <c r="J244" s="3637"/>
      <c r="K244" s="3637"/>
      <c r="L244" s="3637"/>
      <c r="M244" s="3637"/>
      <c r="N244" s="3637"/>
      <c r="O244" s="84" t="s">
        <v>1516</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232</v>
      </c>
      <c r="B245" s="13" t="s">
        <v>2575</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2576</v>
      </c>
      <c r="C246" s="3653"/>
      <c r="D246" s="3653"/>
      <c r="E246" s="25" t="s">
        <v>2577</v>
      </c>
      <c r="F246" s="337"/>
      <c r="G246" s="337"/>
      <c r="K246" s="43"/>
      <c r="M246" s="13"/>
      <c r="N246" s="610"/>
      <c r="O246" s="28" t="s">
        <v>1509</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2578</v>
      </c>
      <c r="F247" s="337"/>
      <c r="G247" s="337"/>
      <c r="K247" s="43"/>
      <c r="M247" s="13"/>
      <c r="N247" s="610"/>
      <c r="O247" s="28" t="s">
        <v>1512</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2579</v>
      </c>
      <c r="F248" s="13"/>
      <c r="G248" s="13"/>
      <c r="K248" s="43"/>
      <c r="M248" s="13"/>
      <c r="N248" s="610"/>
      <c r="O248" s="28" t="s">
        <v>1514</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2580</v>
      </c>
      <c r="F249" s="13"/>
      <c r="G249" s="13"/>
      <c r="K249" s="43"/>
      <c r="M249" s="13"/>
      <c r="N249" s="610"/>
      <c r="O249" s="28" t="s">
        <v>1516</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2581</v>
      </c>
      <c r="F250" s="3637"/>
      <c r="G250" s="3637"/>
      <c r="H250" s="3637"/>
      <c r="I250" s="3637"/>
      <c r="J250" s="3637"/>
      <c r="K250" s="3637"/>
      <c r="L250" s="3637"/>
      <c r="M250" s="3637"/>
      <c r="N250" s="3637"/>
      <c r="O250" s="84" t="s">
        <v>2314</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1440</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2400</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1437</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25" customHeight="1">
      <c r="A256" s="2540" t="s">
        <v>1535</v>
      </c>
      <c r="B256" s="3" t="s">
        <v>1525</v>
      </c>
      <c r="C256" s="3"/>
      <c r="D256" s="38"/>
      <c r="E256" s="38"/>
      <c r="F256" s="38"/>
      <c r="G256" s="38"/>
      <c r="H256" s="2574"/>
      <c r="I256" s="2574"/>
      <c r="J256" s="2574"/>
      <c r="K256" s="2574"/>
      <c r="L256" s="2574"/>
      <c r="M256" s="2574"/>
      <c r="N256" s="77"/>
      <c r="O256" s="66" t="s">
        <v>1434</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199</v>
      </c>
      <c r="B257" s="2574" t="s">
        <v>1509</v>
      </c>
      <c r="C257" s="3637" t="s">
        <v>2582</v>
      </c>
      <c r="D257" s="3637"/>
      <c r="E257" s="3637"/>
      <c r="F257" s="3637"/>
      <c r="G257" s="3637"/>
      <c r="H257" s="3637"/>
      <c r="I257" s="3637"/>
      <c r="J257" s="3637"/>
      <c r="K257" s="3637"/>
      <c r="L257" s="3637"/>
      <c r="M257" s="3637"/>
      <c r="N257" s="3637"/>
      <c r="O257" s="1038" t="s">
        <v>2532</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85" customHeight="1">
      <c r="A258" s="22"/>
      <c r="B258" s="2574" t="s">
        <v>1512</v>
      </c>
      <c r="C258" s="13" t="s">
        <v>2583</v>
      </c>
      <c r="D258" s="13"/>
      <c r="E258" s="13"/>
      <c r="F258" s="13"/>
      <c r="G258" s="13"/>
      <c r="H258" s="13"/>
      <c r="I258" s="13"/>
      <c r="J258" s="13"/>
      <c r="K258" s="13"/>
      <c r="L258" s="13"/>
      <c r="M258" s="13"/>
      <c r="O258" s="1038" t="s">
        <v>1512</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85" customHeight="1">
      <c r="A259" s="22" t="s">
        <v>211</v>
      </c>
      <c r="B259" s="13" t="s">
        <v>2584</v>
      </c>
      <c r="D259" s="13"/>
      <c r="E259" s="13"/>
      <c r="F259" s="13"/>
      <c r="G259" s="13"/>
      <c r="H259" s="13"/>
      <c r="I259" s="13"/>
      <c r="J259" s="13"/>
      <c r="K259" s="13"/>
      <c r="L259" s="13"/>
      <c r="M259" s="13"/>
      <c r="O259" s="28" t="s">
        <v>211</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232</v>
      </c>
      <c r="B260" s="2574" t="s">
        <v>1509</v>
      </c>
      <c r="C260" s="3637" t="s">
        <v>2585</v>
      </c>
      <c r="D260" s="3637"/>
      <c r="E260" s="3637"/>
      <c r="F260" s="3637"/>
      <c r="G260" s="3637"/>
      <c r="H260" s="3637"/>
      <c r="I260" s="3637"/>
      <c r="J260" s="3637"/>
      <c r="K260" s="3637"/>
      <c r="L260" s="3637"/>
      <c r="M260" s="3637"/>
      <c r="N260" s="3637"/>
      <c r="O260" s="1038" t="s">
        <v>2586</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85" customHeight="1">
      <c r="A261" s="22"/>
      <c r="B261" s="2574" t="s">
        <v>1512</v>
      </c>
      <c r="C261" s="13" t="s">
        <v>2587</v>
      </c>
      <c r="D261" s="13"/>
      <c r="E261" s="13"/>
      <c r="F261" s="13"/>
      <c r="G261" s="13"/>
      <c r="H261" s="13"/>
      <c r="I261" s="13"/>
      <c r="J261" s="13"/>
      <c r="K261" s="13"/>
      <c r="L261" s="13"/>
      <c r="M261" s="13"/>
      <c r="O261" s="1038" t="s">
        <v>1512</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234</v>
      </c>
      <c r="B262" s="3637" t="s">
        <v>2588</v>
      </c>
      <c r="C262" s="3637"/>
      <c r="D262" s="3637"/>
      <c r="E262" s="3637"/>
      <c r="F262" s="3637"/>
      <c r="G262" s="3637"/>
      <c r="H262" s="3637"/>
      <c r="I262" s="3637"/>
      <c r="J262" s="3637"/>
      <c r="K262" s="3637"/>
      <c r="L262" s="3637"/>
      <c r="M262" s="3637"/>
      <c r="N262" s="3637"/>
      <c r="O262" s="84" t="s">
        <v>234</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1440</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5" customHeight="1">
      <c r="A264" s="3982"/>
      <c r="B264" s="3983"/>
      <c r="C264" s="3983"/>
      <c r="D264" s="3983"/>
      <c r="E264" s="3983"/>
      <c r="F264" s="3983"/>
      <c r="G264" s="3983"/>
      <c r="H264" s="3983"/>
      <c r="I264" s="3983"/>
      <c r="J264" s="3983"/>
      <c r="K264" s="3983"/>
      <c r="L264" s="3983"/>
      <c r="M264" s="3983"/>
      <c r="N264" s="3983"/>
      <c r="O264" s="3983"/>
      <c r="P264" s="3983"/>
      <c r="Q264" s="3984"/>
      <c r="R264" s="248" t="s">
        <v>2400</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1437</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25" customHeight="1">
      <c r="A268" s="2540" t="s">
        <v>1556</v>
      </c>
      <c r="B268" s="2540" t="s">
        <v>1528</v>
      </c>
      <c r="C268" s="2540"/>
      <c r="D268" s="2574"/>
      <c r="E268" s="2574"/>
      <c r="F268" s="2574"/>
      <c r="G268" s="2574"/>
      <c r="H268" s="2574"/>
      <c r="I268" s="2574"/>
      <c r="J268" s="2574"/>
      <c r="K268" s="2574"/>
      <c r="L268" s="2574"/>
      <c r="M268" s="2574"/>
      <c r="N268" s="77"/>
      <c r="O268" s="66" t="s">
        <v>1434</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85" customHeight="1">
      <c r="B269" s="25" t="s">
        <v>2569</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85" customHeight="1">
      <c r="A270" s="22" t="s">
        <v>199</v>
      </c>
      <c r="B270" s="92" t="s">
        <v>1529</v>
      </c>
      <c r="C270" s="43"/>
      <c r="D270" s="43"/>
      <c r="E270" s="43"/>
      <c r="F270" s="43"/>
      <c r="H270" s="43"/>
      <c r="I270" s="43"/>
      <c r="O270" s="84" t="s">
        <v>199</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1509</v>
      </c>
      <c r="C271" s="3637" t="s">
        <v>2589</v>
      </c>
      <c r="D271" s="3637"/>
      <c r="E271" s="3637"/>
      <c r="F271" s="3637"/>
      <c r="G271" s="3637"/>
      <c r="H271" s="3637"/>
      <c r="I271" s="3637"/>
      <c r="J271" s="3637"/>
      <c r="K271" s="3637"/>
      <c r="L271" s="3637"/>
      <c r="M271" s="3637"/>
      <c r="N271" s="3637"/>
      <c r="O271" s="1038" t="s">
        <v>1509</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1512</v>
      </c>
      <c r="C272" s="3637" t="s">
        <v>2590</v>
      </c>
      <c r="D272" s="3637"/>
      <c r="E272" s="3637"/>
      <c r="F272" s="3637"/>
      <c r="G272" s="3637"/>
      <c r="H272" s="3637"/>
      <c r="I272" s="3637"/>
      <c r="J272" s="3637"/>
      <c r="K272" s="3637"/>
      <c r="L272" s="3637"/>
      <c r="M272" s="3637"/>
      <c r="N272" s="3637"/>
      <c r="O272" s="1038" t="s">
        <v>1512</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211</v>
      </c>
      <c r="B273" s="92" t="s">
        <v>1532</v>
      </c>
      <c r="C273" s="77"/>
      <c r="D273" s="43"/>
      <c r="E273" s="43"/>
      <c r="F273" s="77"/>
      <c r="K273" s="28" t="s">
        <v>211</v>
      </c>
      <c r="L273" s="3654" t="s">
        <v>1723</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85" customHeight="1">
      <c r="A274" s="72" t="s">
        <v>232</v>
      </c>
      <c r="B274" s="92" t="s">
        <v>2591</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85" customHeight="1">
      <c r="A275" s="72"/>
      <c r="B275" s="13" t="s">
        <v>2592</v>
      </c>
      <c r="C275" s="77"/>
      <c r="D275" s="43"/>
      <c r="E275" s="43"/>
      <c r="F275" s="77"/>
      <c r="H275" s="77"/>
      <c r="I275" s="77"/>
      <c r="N275" s="1368" t="s">
        <v>2593</v>
      </c>
      <c r="O275" s="28" t="s">
        <v>232</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85" customHeight="1">
      <c r="A276" s="43"/>
      <c r="B276" s="74" t="s">
        <v>1440</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2400</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1437</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25" customHeight="1">
      <c r="A281" s="2540" t="s">
        <v>1566</v>
      </c>
      <c r="B281" s="2540" t="s">
        <v>1536</v>
      </c>
      <c r="C281" s="2541"/>
      <c r="D281" s="2591"/>
      <c r="E281" s="2574"/>
      <c r="F281" s="2574"/>
      <c r="G281" s="2574"/>
      <c r="H281" s="2574"/>
      <c r="I281" s="2574"/>
      <c r="J281" s="2574"/>
      <c r="K281" s="2574"/>
      <c r="L281" s="2574"/>
      <c r="M281" s="2574"/>
      <c r="N281" s="77"/>
      <c r="O281" s="66" t="s">
        <v>1434</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85" customHeight="1">
      <c r="B282" s="25" t="s">
        <v>2569</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199</v>
      </c>
      <c r="B283" s="104" t="s">
        <v>2594</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1509</v>
      </c>
      <c r="C284" s="3637" t="s">
        <v>2595</v>
      </c>
      <c r="D284" s="3637"/>
      <c r="E284" s="3637"/>
      <c r="F284" s="3637"/>
      <c r="G284" s="3637"/>
      <c r="H284" s="3637"/>
      <c r="I284" s="3637"/>
      <c r="J284" s="3637"/>
      <c r="K284" s="3637"/>
      <c r="L284" s="3637"/>
      <c r="M284" s="3637"/>
      <c r="N284" s="3637"/>
      <c r="O284" s="84" t="s">
        <v>2596</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1512</v>
      </c>
      <c r="C285" s="3637" t="s">
        <v>2597</v>
      </c>
      <c r="D285" s="3637"/>
      <c r="E285" s="3637"/>
      <c r="F285" s="3637"/>
      <c r="G285" s="3637"/>
      <c r="H285" s="3637"/>
      <c r="I285" s="3637"/>
      <c r="J285" s="3637"/>
      <c r="K285" s="3637"/>
      <c r="L285" s="3637"/>
      <c r="M285" s="3637"/>
      <c r="N285" s="3637"/>
      <c r="O285" s="84" t="s">
        <v>1512</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1514</v>
      </c>
      <c r="C286" s="3637" t="s">
        <v>2598</v>
      </c>
      <c r="D286" s="3637"/>
      <c r="E286" s="3637"/>
      <c r="F286" s="3637"/>
      <c r="G286" s="3637"/>
      <c r="H286" s="3637"/>
      <c r="I286" s="3637"/>
      <c r="J286" s="3637"/>
      <c r="K286" s="3637"/>
      <c r="L286" s="3637"/>
      <c r="M286" s="3637"/>
      <c r="N286" s="3637"/>
      <c r="O286" s="84" t="s">
        <v>1514</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211</v>
      </c>
      <c r="B287" s="104" t="s">
        <v>2599</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1509</v>
      </c>
      <c r="C288" s="13" t="s">
        <v>216</v>
      </c>
      <c r="D288" s="3637" t="s">
        <v>2600</v>
      </c>
      <c r="E288" s="3637"/>
      <c r="F288" s="3637"/>
      <c r="G288" s="3637"/>
      <c r="H288" s="3637"/>
      <c r="I288" s="73"/>
      <c r="J288" s="3643" t="s">
        <v>2601</v>
      </c>
      <c r="K288" s="3657"/>
      <c r="L288" s="3657"/>
      <c r="M288" s="3724" t="s">
        <v>2602</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7"/>
      <c r="E289" s="3637"/>
      <c r="F289" s="3637"/>
      <c r="G289" s="3637"/>
      <c r="H289" s="3637"/>
      <c r="I289" s="2512"/>
      <c r="J289" s="3657"/>
      <c r="K289" s="3657"/>
      <c r="L289" s="3657"/>
      <c r="M289" s="13" t="s">
        <v>2603</v>
      </c>
      <c r="N289" s="2585" t="s">
        <v>2604</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5" customHeight="1">
      <c r="A290" s="155"/>
      <c r="B290" s="2517"/>
      <c r="C290" s="2511"/>
      <c r="D290" s="3637"/>
      <c r="E290" s="3637"/>
      <c r="F290" s="3637"/>
      <c r="G290" s="3637"/>
      <c r="H290" s="3637"/>
      <c r="I290" s="13" t="s">
        <v>2605</v>
      </c>
      <c r="J290" s="2511"/>
      <c r="K290" s="1183"/>
      <c r="L290" s="607" t="e">
        <f>IF(K290&lt;M290,"Check!!!","")</f>
        <v>#REF!</v>
      </c>
      <c r="M290" s="1185" t="e">
        <f>ROUNDUP(#REF!*'Part VII-Threshold Criteria OLD'!N290,0)</f>
        <v>#REF!</v>
      </c>
      <c r="N290" s="884" t="e">
        <f>#REF!</f>
        <v>#REF!</v>
      </c>
      <c r="O290" s="28" t="s">
        <v>2606</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219</v>
      </c>
      <c r="D291" s="3637" t="s">
        <v>2607</v>
      </c>
      <c r="E291" s="3637"/>
      <c r="F291" s="3637"/>
      <c r="G291" s="3637"/>
      <c r="H291" s="3637"/>
      <c r="I291" s="264" t="s">
        <v>2608</v>
      </c>
      <c r="J291" s="2511"/>
      <c r="K291" s="1184"/>
      <c r="L291" s="607" t="e">
        <f>IF(K291&lt;M291,"Check!!!","")</f>
        <v>#REF!</v>
      </c>
      <c r="M291" s="1186" t="e">
        <f>ROUNDUP(K290*'Part VII-Threshold Criteria OLD'!N291,0)</f>
        <v>#REF!</v>
      </c>
      <c r="N291" s="884" t="e">
        <f>#REF!</f>
        <v>#REF!</v>
      </c>
      <c r="O291" s="28" t="s">
        <v>219</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7"/>
      <c r="E292" s="3637"/>
      <c r="F292" s="3637"/>
      <c r="G292" s="3637"/>
      <c r="H292" s="3637"/>
      <c r="I292" s="2511"/>
      <c r="J292" s="2511"/>
      <c r="K292" s="2511"/>
      <c r="L292" s="2511"/>
      <c r="M292" s="2511"/>
      <c r="N292" s="2511"/>
      <c r="O292" s="16"/>
      <c r="P292" s="3661"/>
      <c r="Q292" s="3659"/>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1512</v>
      </c>
      <c r="C293" s="3637" t="s">
        <v>2609</v>
      </c>
      <c r="D293" s="3637"/>
      <c r="E293" s="3637"/>
      <c r="F293" s="3637"/>
      <c r="G293" s="3637"/>
      <c r="H293" s="3637"/>
      <c r="I293" s="13" t="s">
        <v>2610</v>
      </c>
      <c r="J293" s="2511"/>
      <c r="K293" s="4636"/>
      <c r="L293" s="607" t="e">
        <f>IF(K293&lt;M293,"Check!!!","")</f>
        <v>#REF!</v>
      </c>
      <c r="M293" s="608" t="e">
        <f>ROUNDUP(#REF!*'Part VII-Threshold Criteria OLD'!N293,0)</f>
        <v>#REF!</v>
      </c>
      <c r="N293" s="884" t="e">
        <f>#REF!</f>
        <v>#REF!</v>
      </c>
      <c r="O293" s="28" t="s">
        <v>1512</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7"/>
      <c r="D294" s="3637"/>
      <c r="E294" s="3637"/>
      <c r="F294" s="3637"/>
      <c r="G294" s="3637"/>
      <c r="H294" s="3637"/>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7"/>
      <c r="D295" s="3637"/>
      <c r="E295" s="3637"/>
      <c r="F295" s="3637"/>
      <c r="G295" s="3637"/>
      <c r="H295" s="3637"/>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232</v>
      </c>
      <c r="B296" s="104" t="s">
        <v>2611</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2612</v>
      </c>
      <c r="C297" s="3637"/>
      <c r="D297" s="3637"/>
      <c r="E297" s="3637"/>
      <c r="F297" s="3637"/>
      <c r="G297" s="3637"/>
      <c r="H297" s="3637"/>
      <c r="I297" s="3637"/>
      <c r="J297" s="3637"/>
      <c r="K297" s="3637"/>
      <c r="L297" s="3637"/>
      <c r="M297" s="3637"/>
      <c r="N297" s="3637"/>
      <c r="O297" s="84" t="s">
        <v>232</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2613</v>
      </c>
      <c r="D298" s="73"/>
      <c r="E298" s="73"/>
      <c r="F298" s="73"/>
      <c r="G298" s="73"/>
      <c r="H298" s="73"/>
      <c r="I298" s="73" t="s">
        <v>2614</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1509</v>
      </c>
      <c r="C299" s="3637" t="s">
        <v>2615</v>
      </c>
      <c r="D299" s="3637"/>
      <c r="E299" s="3637"/>
      <c r="F299" s="3637"/>
      <c r="G299" s="3637"/>
      <c r="H299" s="3637"/>
      <c r="I299" s="3637"/>
      <c r="J299" s="3637"/>
      <c r="K299" s="3637"/>
      <c r="L299" s="3637"/>
      <c r="M299" s="3637"/>
      <c r="N299" s="3637"/>
      <c r="O299" s="84" t="s">
        <v>2616</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1512</v>
      </c>
      <c r="C300" s="3637" t="s">
        <v>2617</v>
      </c>
      <c r="D300" s="3637"/>
      <c r="E300" s="3637"/>
      <c r="F300" s="3637"/>
      <c r="G300" s="3637"/>
      <c r="H300" s="3637"/>
      <c r="I300" s="3637"/>
      <c r="J300" s="3637"/>
      <c r="K300" s="3637"/>
      <c r="L300" s="3637"/>
      <c r="M300" s="3637"/>
      <c r="N300" s="3637"/>
      <c r="O300" s="84" t="s">
        <v>2618</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1514</v>
      </c>
      <c r="C301" s="3637" t="s">
        <v>2619</v>
      </c>
      <c r="D301" s="3637"/>
      <c r="E301" s="3637"/>
      <c r="F301" s="3637"/>
      <c r="G301" s="3637"/>
      <c r="H301" s="3637"/>
      <c r="I301" s="3637"/>
      <c r="J301" s="3637"/>
      <c r="K301" s="3637"/>
      <c r="L301" s="3637"/>
      <c r="M301" s="3637"/>
      <c r="N301" s="3637"/>
      <c r="O301" s="84" t="s">
        <v>2620</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1516</v>
      </c>
      <c r="C302" s="3637" t="s">
        <v>2621</v>
      </c>
      <c r="D302" s="3637"/>
      <c r="E302" s="3637"/>
      <c r="F302" s="3637"/>
      <c r="G302" s="3637"/>
      <c r="H302" s="3637"/>
      <c r="I302" s="3637"/>
      <c r="J302" s="3637"/>
      <c r="K302" s="3637"/>
      <c r="L302" s="3637"/>
      <c r="M302" s="3637"/>
      <c r="N302" s="3637"/>
      <c r="O302" s="84" t="s">
        <v>2622</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1440</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2400</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1437</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25" customHeight="1">
      <c r="A307" s="2540" t="s">
        <v>1577</v>
      </c>
      <c r="B307" s="3" t="s">
        <v>1557</v>
      </c>
      <c r="C307" s="3"/>
      <c r="D307" s="3"/>
      <c r="E307" s="3"/>
      <c r="F307" s="3"/>
      <c r="G307" s="3"/>
      <c r="H307" s="2574"/>
      <c r="I307" s="2574"/>
      <c r="J307" s="2574"/>
      <c r="K307" s="2574"/>
      <c r="L307" s="2574"/>
      <c r="M307" s="2574"/>
      <c r="N307" s="77"/>
      <c r="O307" s="66" t="s">
        <v>1434</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85" customHeight="1">
      <c r="A308" s="77"/>
      <c r="B308" s="25" t="s">
        <v>2623</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2624</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85" customHeight="1">
      <c r="A310" s="22"/>
      <c r="B310" s="16" t="s">
        <v>2625</v>
      </c>
      <c r="E310" s="16"/>
      <c r="F310" s="16"/>
      <c r="G310" s="16"/>
      <c r="H310" s="16"/>
      <c r="I310" s="43"/>
      <c r="J310" s="28"/>
      <c r="K310" s="3649" t="s">
        <v>726</v>
      </c>
      <c r="L310" s="3650"/>
      <c r="M310" s="3650"/>
      <c r="N310" s="370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85" customHeight="1">
      <c r="A311" s="75" t="s">
        <v>199</v>
      </c>
      <c r="B311" s="56" t="s">
        <v>2626</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2627</v>
      </c>
      <c r="C312" s="3637"/>
      <c r="D312" s="3637"/>
      <c r="E312" s="3637"/>
      <c r="F312" s="3637"/>
      <c r="G312" s="3637"/>
      <c r="H312" s="3637"/>
      <c r="I312" s="3637"/>
      <c r="J312" s="3637"/>
      <c r="K312" s="3637"/>
      <c r="L312" s="3637"/>
      <c r="M312" s="3637"/>
      <c r="N312" s="3637"/>
      <c r="O312" s="84" t="s">
        <v>199</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75" customHeight="1">
      <c r="A313" s="75" t="s">
        <v>211</v>
      </c>
      <c r="B313" s="38" t="s">
        <v>1559</v>
      </c>
      <c r="C313" s="77"/>
      <c r="D313" s="38"/>
      <c r="E313" s="38"/>
      <c r="F313" s="38"/>
      <c r="G313" s="38"/>
      <c r="H313" s="38"/>
      <c r="I313" s="38"/>
      <c r="J313" s="38"/>
      <c r="K313" s="38"/>
      <c r="L313" s="38"/>
      <c r="M313" s="38"/>
      <c r="N313" s="77"/>
      <c r="O313" s="84" t="s">
        <v>211</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1509</v>
      </c>
      <c r="C314" s="73" t="s">
        <v>2628</v>
      </c>
      <c r="D314" s="77"/>
      <c r="E314" s="229"/>
      <c r="F314" s="229"/>
      <c r="G314" s="4641" t="s">
        <v>1694</v>
      </c>
      <c r="H314" s="4642"/>
      <c r="I314" s="4642"/>
      <c r="J314" s="4642"/>
      <c r="K314" s="4642"/>
      <c r="L314" s="4642"/>
      <c r="M314" s="4642"/>
      <c r="N314" s="4643"/>
      <c r="O314" s="84" t="s">
        <v>1509</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2629</v>
      </c>
    </row>
    <row r="315" spans="1:256 1523:1523" ht="23.25" customHeight="1">
      <c r="A315" s="77"/>
      <c r="B315" s="266" t="s">
        <v>1512</v>
      </c>
      <c r="C315" s="3637" t="s">
        <v>2630</v>
      </c>
      <c r="D315" s="3637"/>
      <c r="E315" s="3637"/>
      <c r="F315" s="3693"/>
      <c r="G315" s="2719" t="s">
        <v>1687</v>
      </c>
      <c r="H315" s="3697"/>
      <c r="I315" s="3697"/>
      <c r="J315" s="3697"/>
      <c r="K315" s="3697"/>
      <c r="L315" s="3697"/>
      <c r="M315" s="3697"/>
      <c r="N315" s="3698"/>
      <c r="O315" s="84" t="s">
        <v>1512</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1514</v>
      </c>
      <c r="C317" s="1133" t="s">
        <v>2631</v>
      </c>
      <c r="D317" s="1132"/>
      <c r="E317" s="1132"/>
      <c r="F317" s="1132"/>
      <c r="G317" s="3652" t="s">
        <v>2632</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2467</v>
      </c>
      <c r="C318" s="3725"/>
      <c r="D318" s="3726"/>
      <c r="E318" s="3726"/>
      <c r="F318" s="3726"/>
      <c r="G318" s="3726"/>
      <c r="H318" s="3726"/>
      <c r="I318" s="3726"/>
      <c r="J318" s="3726"/>
      <c r="K318" s="3726"/>
      <c r="L318" s="3726"/>
      <c r="M318" s="3726"/>
      <c r="N318" s="3727"/>
      <c r="O318" s="84" t="s">
        <v>2633</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2469</v>
      </c>
      <c r="C319" s="3694"/>
      <c r="D319" s="3695"/>
      <c r="E319" s="3695"/>
      <c r="F319" s="3695"/>
      <c r="G319" s="3695"/>
      <c r="H319" s="3695"/>
      <c r="I319" s="3695"/>
      <c r="J319" s="3695"/>
      <c r="K319" s="3695"/>
      <c r="L319" s="3695"/>
      <c r="M319" s="3695"/>
      <c r="N319" s="3696"/>
      <c r="O319" s="84" t="s">
        <v>2634</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234</v>
      </c>
      <c r="B320" s="3637" t="s">
        <v>2635</v>
      </c>
      <c r="C320" s="3637"/>
      <c r="D320" s="3637"/>
      <c r="E320" s="3637"/>
      <c r="F320" s="3637"/>
      <c r="G320" s="3637"/>
      <c r="H320" s="3637"/>
      <c r="I320" s="3637"/>
      <c r="J320" s="3637"/>
      <c r="K320" s="3637"/>
      <c r="L320" s="3637"/>
      <c r="M320" s="3637"/>
      <c r="N320" s="3637"/>
      <c r="O320" s="84" t="s">
        <v>234</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1440</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85" customHeight="1">
      <c r="A323" s="3982"/>
      <c r="B323" s="3983"/>
      <c r="C323" s="3983"/>
      <c r="D323" s="3983"/>
      <c r="E323" s="3983"/>
      <c r="F323" s="3983"/>
      <c r="G323" s="3983"/>
      <c r="H323" s="3983"/>
      <c r="I323" s="3983"/>
      <c r="J323" s="3983"/>
      <c r="K323" s="3983"/>
      <c r="L323" s="3983"/>
      <c r="M323" s="3983"/>
      <c r="N323" s="3983"/>
      <c r="O323" s="3983"/>
      <c r="P323" s="3983"/>
      <c r="Q323" s="3984"/>
      <c r="R323" s="260" t="s">
        <v>2400</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1437</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8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25" customHeight="1">
      <c r="A326" s="2540" t="s">
        <v>1590</v>
      </c>
      <c r="B326" s="104" t="s">
        <v>2636</v>
      </c>
      <c r="C326" s="2540"/>
      <c r="D326" s="2574"/>
      <c r="E326" s="2574"/>
      <c r="F326" s="2574"/>
      <c r="G326" s="2574"/>
      <c r="H326" s="2574"/>
      <c r="I326" s="77"/>
      <c r="J326" s="77"/>
      <c r="K326" s="77"/>
      <c r="L326" s="77"/>
      <c r="M326" s="77"/>
      <c r="N326" s="644" t="s">
        <v>2452</v>
      </c>
      <c r="O326" s="66" t="s">
        <v>1434</v>
      </c>
      <c r="P326" s="3646"/>
      <c r="Q326" s="3647"/>
      <c r="R326" s="646" t="s">
        <v>2453</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85" customHeight="1">
      <c r="A327" s="22" t="s">
        <v>199</v>
      </c>
      <c r="B327" s="25" t="s">
        <v>2637</v>
      </c>
      <c r="C327" s="77"/>
      <c r="D327" s="77"/>
      <c r="E327" s="77"/>
      <c r="F327" s="77"/>
      <c r="G327" s="77"/>
      <c r="H327" s="77"/>
      <c r="I327" s="77"/>
      <c r="J327" s="77"/>
      <c r="K327" s="77"/>
      <c r="L327" s="77"/>
      <c r="M327" s="77"/>
      <c r="N327" s="77"/>
      <c r="O327" s="84" t="s">
        <v>199</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85" customHeight="1">
      <c r="A328" s="75" t="s">
        <v>211</v>
      </c>
      <c r="B328" s="25" t="s">
        <v>2638</v>
      </c>
      <c r="C328" s="77"/>
      <c r="D328" s="77"/>
      <c r="E328" s="77"/>
      <c r="F328" s="77"/>
      <c r="G328" s="77"/>
      <c r="H328" s="77"/>
      <c r="I328" s="77"/>
      <c r="J328" s="77"/>
      <c r="K328" s="77"/>
      <c r="L328" s="77"/>
      <c r="M328" s="77"/>
      <c r="N328" s="77"/>
      <c r="O328" s="84" t="s">
        <v>211</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85" customHeight="1">
      <c r="A329" s="75" t="s">
        <v>232</v>
      </c>
      <c r="B329" s="25" t="s">
        <v>2639</v>
      </c>
      <c r="C329" s="77"/>
      <c r="D329" s="77"/>
      <c r="E329" s="77"/>
      <c r="F329" s="77"/>
      <c r="G329" s="77"/>
      <c r="H329" s="77"/>
      <c r="I329" s="77"/>
      <c r="J329" s="77"/>
      <c r="K329" s="143"/>
      <c r="L329" s="77"/>
      <c r="M329" s="84" t="s">
        <v>232</v>
      </c>
      <c r="N329" s="3687" t="s">
        <v>726</v>
      </c>
      <c r="O329" s="3688"/>
      <c r="P329" s="3689" t="s">
        <v>726</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85" customHeight="1">
      <c r="A330" s="22" t="s">
        <v>234</v>
      </c>
      <c r="B330" s="25" t="s">
        <v>2640</v>
      </c>
      <c r="C330" s="77"/>
      <c r="D330" s="77"/>
      <c r="E330" s="77"/>
      <c r="F330" s="77"/>
      <c r="G330" s="77"/>
      <c r="H330" s="77"/>
      <c r="I330" s="77"/>
      <c r="J330" s="77"/>
      <c r="K330" s="77"/>
      <c r="L330" s="77"/>
      <c r="M330" s="77"/>
      <c r="N330" s="77"/>
      <c r="O330" s="28" t="s">
        <v>234</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85" customHeight="1">
      <c r="A331" s="75" t="s">
        <v>241</v>
      </c>
      <c r="B331" s="25" t="s">
        <v>2641</v>
      </c>
      <c r="C331" s="77"/>
      <c r="D331" s="77"/>
      <c r="E331" s="77"/>
      <c r="F331" s="77"/>
      <c r="G331" s="77"/>
      <c r="H331" s="77"/>
      <c r="I331" s="77"/>
      <c r="J331" s="77"/>
      <c r="K331" s="77"/>
      <c r="L331" s="77"/>
      <c r="M331" s="77"/>
      <c r="N331" s="84" t="s">
        <v>241</v>
      </c>
      <c r="O331" s="4644" t="s">
        <v>84</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85" customHeight="1">
      <c r="A332" s="75" t="s">
        <v>243</v>
      </c>
      <c r="B332" s="39" t="s">
        <v>2642</v>
      </c>
      <c r="C332" s="77"/>
      <c r="D332" s="77"/>
      <c r="E332" s="77"/>
      <c r="F332" s="77"/>
      <c r="G332" s="77"/>
      <c r="H332" s="77"/>
      <c r="I332" s="77"/>
      <c r="J332" s="77"/>
      <c r="K332" s="77"/>
      <c r="L332" s="77"/>
      <c r="M332" s="77"/>
      <c r="N332" s="84" t="s">
        <v>243</v>
      </c>
      <c r="O332" s="4647" t="s">
        <v>84</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1440</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5" customHeight="1">
      <c r="A334" s="3982"/>
      <c r="B334" s="3983"/>
      <c r="C334" s="3983"/>
      <c r="D334" s="3983"/>
      <c r="E334" s="3983"/>
      <c r="F334" s="3983"/>
      <c r="G334" s="3983"/>
      <c r="H334" s="3983"/>
      <c r="I334" s="3983"/>
      <c r="J334" s="3983"/>
      <c r="K334" s="3983"/>
      <c r="L334" s="3983"/>
      <c r="M334" s="3983"/>
      <c r="N334" s="3983"/>
      <c r="O334" s="3983"/>
      <c r="P334" s="3983"/>
      <c r="Q334" s="3984"/>
      <c r="R334" s="248" t="s">
        <v>2400</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1437</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25" customHeight="1">
      <c r="A338" s="2540" t="s">
        <v>1595</v>
      </c>
      <c r="B338" s="3" t="s">
        <v>1578</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1434</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25" customHeight="1">
      <c r="A339" s="2540"/>
      <c r="B339" s="13" t="s">
        <v>2643</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25" customHeight="1">
      <c r="A340" s="2540"/>
      <c r="B340" s="13" t="s">
        <v>2644</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199</v>
      </c>
      <c r="B341" s="3637" t="s">
        <v>2645</v>
      </c>
      <c r="C341" s="3637"/>
      <c r="D341" s="3637"/>
      <c r="E341" s="3637"/>
      <c r="F341" s="3637"/>
      <c r="G341" s="3637"/>
      <c r="H341" s="3637"/>
      <c r="I341" s="3637"/>
      <c r="J341" s="3637"/>
      <c r="K341" s="3637"/>
      <c r="L341" s="3637"/>
      <c r="M341" s="3637"/>
      <c r="N341" s="3637"/>
      <c r="O341" s="84" t="s">
        <v>199</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1509</v>
      </c>
      <c r="C342" s="13" t="s">
        <v>2646</v>
      </c>
      <c r="D342" s="13"/>
      <c r="E342" s="13"/>
      <c r="F342" s="13"/>
      <c r="G342" s="13"/>
      <c r="H342" s="13"/>
      <c r="I342" s="13"/>
      <c r="J342" s="13"/>
      <c r="K342" s="43"/>
      <c r="L342" s="43"/>
      <c r="M342" s="43"/>
      <c r="N342" s="43"/>
      <c r="O342" s="28" t="s">
        <v>2532</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1215</v>
      </c>
      <c r="D343" s="13"/>
      <c r="E343" s="1135" t="e">
        <f>#REF!</f>
        <v>#REF!</v>
      </c>
      <c r="F343" s="13" t="s">
        <v>2647</v>
      </c>
      <c r="G343" s="1136" t="e">
        <f>#REF!</f>
        <v>#REF!</v>
      </c>
      <c r="H343" s="43"/>
      <c r="I343" s="13" t="s">
        <v>1225</v>
      </c>
      <c r="J343" s="43"/>
      <c r="K343" s="43"/>
      <c r="L343" s="1135" t="e">
        <f>#REF!</f>
        <v>#REF!</v>
      </c>
      <c r="M343" s="28" t="s">
        <v>2648</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211</v>
      </c>
      <c r="B344" s="3637" t="s">
        <v>2649</v>
      </c>
      <c r="C344" s="3637"/>
      <c r="D344" s="3637"/>
      <c r="E344" s="3637"/>
      <c r="F344" s="3637"/>
      <c r="G344" s="3637"/>
      <c r="H344" s="3637"/>
      <c r="I344" s="3637"/>
      <c r="J344" s="3637"/>
      <c r="K344" s="3637"/>
      <c r="L344" s="3637"/>
      <c r="M344" s="3637"/>
      <c r="N344" s="3637"/>
      <c r="O344" s="84" t="s">
        <v>211</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1215</v>
      </c>
      <c r="D345" s="13"/>
      <c r="E345" s="1135" t="e">
        <f>#REF!</f>
        <v>#REF!</v>
      </c>
      <c r="F345" s="13" t="s">
        <v>2650</v>
      </c>
      <c r="H345" s="43"/>
      <c r="L345" s="1497"/>
      <c r="M345" s="28" t="s">
        <v>2648</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232</v>
      </c>
      <c r="B346" s="3637" t="s">
        <v>2651</v>
      </c>
      <c r="C346" s="3637"/>
      <c r="D346" s="3637"/>
      <c r="E346" s="3637"/>
      <c r="F346" s="3637"/>
      <c r="G346" s="3637"/>
      <c r="H346" s="3637"/>
      <c r="I346" s="3637"/>
      <c r="J346" s="3637"/>
      <c r="K346" s="3637"/>
      <c r="L346" s="3637"/>
      <c r="M346" s="3637"/>
      <c r="N346" s="3637"/>
      <c r="O346" s="84" t="s">
        <v>232</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25" customHeight="1">
      <c r="A347" s="2509"/>
      <c r="B347" s="264" t="s">
        <v>1509</v>
      </c>
      <c r="C347" s="25" t="s">
        <v>2652</v>
      </c>
      <c r="D347" s="6"/>
      <c r="E347" s="6"/>
      <c r="F347" s="6"/>
      <c r="G347" s="6"/>
      <c r="H347" s="2592"/>
      <c r="I347" s="2592"/>
      <c r="J347" s="2592"/>
      <c r="K347" s="2592"/>
      <c r="L347" s="2592"/>
      <c r="M347" s="2592"/>
      <c r="N347" s="1375"/>
      <c r="O347" s="28" t="s">
        <v>2586</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1215</v>
      </c>
      <c r="D348" s="13"/>
      <c r="E348" s="1135" t="e">
        <f>#REF!</f>
        <v>#REF!</v>
      </c>
      <c r="F348" s="13" t="s">
        <v>2647</v>
      </c>
      <c r="G348" s="1136" t="e">
        <f>#REF!</f>
        <v>#REF!</v>
      </c>
      <c r="H348" s="43"/>
      <c r="I348" s="13" t="s">
        <v>1225</v>
      </c>
      <c r="J348" s="43"/>
      <c r="K348" s="43"/>
      <c r="L348" s="1135" t="e">
        <f>#REF!</f>
        <v>#REF!</v>
      </c>
      <c r="M348" s="28" t="s">
        <v>2648</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1440</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1437</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25" customHeight="1">
      <c r="A354" s="2540" t="s">
        <v>1601</v>
      </c>
      <c r="B354" s="3" t="s">
        <v>1591</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1434</v>
      </c>
      <c r="P354" s="3761"/>
      <c r="Q354" s="3647"/>
      <c r="R354" s="77"/>
      <c r="S354" s="77"/>
      <c r="T354" s="77"/>
      <c r="U354" s="77"/>
      <c r="V354" s="77"/>
      <c r="W354" s="77"/>
      <c r="X354" s="77"/>
      <c r="Y354" s="77"/>
      <c r="Z354" s="77"/>
      <c r="AA354" s="77"/>
      <c r="AB354" s="77"/>
      <c r="AC354" s="77"/>
      <c r="AD354" s="77"/>
      <c r="AE354" s="77"/>
    </row>
    <row r="355" spans="1:31" ht="10.5" customHeight="1">
      <c r="A355" s="22" t="s">
        <v>199</v>
      </c>
      <c r="B355" s="13" t="s">
        <v>1592</v>
      </c>
      <c r="C355" s="77"/>
      <c r="D355" s="78"/>
      <c r="E355" s="78"/>
      <c r="F355" s="78"/>
      <c r="G355" s="78"/>
      <c r="H355" s="28" t="s">
        <v>199</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211</v>
      </c>
      <c r="B356" s="13" t="s">
        <v>1593</v>
      </c>
      <c r="C356" s="77"/>
      <c r="D356" s="78"/>
      <c r="E356" s="78"/>
      <c r="F356" s="78"/>
      <c r="G356" s="78"/>
      <c r="H356" s="84" t="s">
        <v>211</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232</v>
      </c>
      <c r="B357" s="3648" t="s">
        <v>2653</v>
      </c>
      <c r="C357" s="3648"/>
      <c r="D357" s="3648"/>
      <c r="E357" s="3648"/>
      <c r="F357" s="3648"/>
      <c r="G357" s="3648"/>
      <c r="H357" s="3648"/>
      <c r="I357" s="3648"/>
      <c r="J357" s="3648"/>
      <c r="K357" s="3648"/>
      <c r="L357" s="3648"/>
      <c r="M357" s="3648"/>
      <c r="N357" s="3648"/>
      <c r="O357" s="84" t="s">
        <v>232</v>
      </c>
      <c r="P357" s="2584"/>
      <c r="Q357" s="1377"/>
      <c r="R357" s="77"/>
      <c r="S357" s="77"/>
      <c r="T357" s="77"/>
      <c r="U357" s="77"/>
      <c r="V357" s="77"/>
      <c r="W357" s="77"/>
      <c r="X357" s="77"/>
      <c r="Y357" s="77"/>
      <c r="Z357" s="77"/>
      <c r="AA357" s="77"/>
      <c r="AB357" s="77"/>
      <c r="AC357" s="77"/>
      <c r="AD357" s="77"/>
      <c r="AE357" s="77"/>
    </row>
    <row r="358" spans="1:31" ht="21.75" customHeight="1">
      <c r="A358" s="75" t="s">
        <v>234</v>
      </c>
      <c r="B358" s="3637" t="s">
        <v>2654</v>
      </c>
      <c r="C358" s="3637"/>
      <c r="D358" s="3637"/>
      <c r="E358" s="3637"/>
      <c r="F358" s="3637"/>
      <c r="G358" s="3637"/>
      <c r="H358" s="3637"/>
      <c r="I358" s="3637"/>
      <c r="J358" s="3637"/>
      <c r="K358" s="3637"/>
      <c r="L358" s="3637"/>
      <c r="M358" s="3637"/>
      <c r="N358" s="3637"/>
      <c r="O358" s="84" t="s">
        <v>234</v>
      </c>
      <c r="P358" s="2589"/>
      <c r="Q358" s="2587"/>
      <c r="R358" s="77"/>
      <c r="S358" s="77"/>
      <c r="T358" s="77"/>
      <c r="U358" s="77"/>
      <c r="V358" s="77"/>
      <c r="W358" s="77"/>
      <c r="X358" s="77"/>
      <c r="Y358" s="77"/>
      <c r="Z358" s="77"/>
      <c r="AA358" s="77"/>
      <c r="AB358" s="77"/>
      <c r="AC358" s="77"/>
      <c r="AD358" s="77"/>
      <c r="AE358" s="77"/>
    </row>
    <row r="359" spans="1:31" ht="10.5" customHeight="1">
      <c r="A359" s="75" t="s">
        <v>241</v>
      </c>
      <c r="B359" s="13" t="s">
        <v>2655</v>
      </c>
      <c r="C359" s="77"/>
      <c r="D359" s="13"/>
      <c r="E359" s="13"/>
      <c r="F359" s="13"/>
      <c r="G359" s="13"/>
      <c r="H359" s="13"/>
      <c r="I359" s="13"/>
      <c r="J359" s="13"/>
      <c r="K359" s="13"/>
      <c r="L359" s="13"/>
      <c r="M359" s="13"/>
      <c r="N359" s="77"/>
      <c r="O359" s="84" t="s">
        <v>241</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243</v>
      </c>
      <c r="B360" s="3637" t="s">
        <v>2656</v>
      </c>
      <c r="C360" s="3637"/>
      <c r="D360" s="3637"/>
      <c r="E360" s="3637"/>
      <c r="F360" s="3637"/>
      <c r="G360" s="3637"/>
      <c r="H360" s="3637"/>
      <c r="I360" s="3637"/>
      <c r="J360" s="3637"/>
      <c r="K360" s="3637"/>
      <c r="L360" s="3637"/>
      <c r="M360" s="3637"/>
      <c r="N360" s="3637"/>
      <c r="O360" s="84" t="s">
        <v>243</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2436</v>
      </c>
      <c r="B361" s="73" t="s">
        <v>2657</v>
      </c>
      <c r="C361" s="229"/>
      <c r="D361" s="337"/>
      <c r="E361" s="337"/>
      <c r="F361" s="337"/>
      <c r="G361" s="337"/>
      <c r="H361" s="337"/>
      <c r="I361" s="337"/>
      <c r="J361" s="337"/>
      <c r="K361" s="337"/>
      <c r="L361" s="337"/>
      <c r="M361" s="337"/>
      <c r="N361" s="337"/>
      <c r="O361" s="84" t="s">
        <v>2436</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2658</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2438</v>
      </c>
      <c r="B363" s="3637" t="s">
        <v>2659</v>
      </c>
      <c r="C363" s="3637"/>
      <c r="D363" s="3637"/>
      <c r="E363" s="3637"/>
      <c r="F363" s="3637"/>
      <c r="G363" s="3637"/>
      <c r="H363" s="3637"/>
      <c r="I363" s="3637"/>
      <c r="J363" s="3637"/>
      <c r="K363" s="3637"/>
      <c r="L363" s="3637"/>
      <c r="M363" s="3637"/>
      <c r="N363" s="3637"/>
      <c r="O363" s="84" t="s">
        <v>2438</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2660</v>
      </c>
      <c r="C364" s="3637"/>
      <c r="D364" s="3637"/>
      <c r="E364" s="3637"/>
      <c r="F364" s="3637"/>
      <c r="G364" s="3637"/>
      <c r="H364" s="3637"/>
      <c r="I364" s="3637"/>
      <c r="J364" s="3637"/>
      <c r="K364" s="3637"/>
      <c r="L364" s="3637"/>
      <c r="M364" s="3637"/>
      <c r="N364" s="3637"/>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1440</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1437</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25" customHeight="1">
      <c r="A371" s="2540" t="s">
        <v>1608</v>
      </c>
      <c r="B371" s="3" t="s">
        <v>2661</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1434</v>
      </c>
      <c r="P371" s="3646"/>
      <c r="Q371" s="3647"/>
      <c r="R371" s="77"/>
      <c r="S371" s="77"/>
      <c r="T371" s="77"/>
      <c r="U371" s="77"/>
      <c r="V371" s="77"/>
      <c r="W371" s="77"/>
      <c r="X371" s="77"/>
      <c r="Y371" s="77"/>
      <c r="Z371" s="77"/>
      <c r="AA371" s="77"/>
      <c r="AB371" s="77"/>
      <c r="AC371" s="77"/>
      <c r="AD371" s="77"/>
      <c r="AE371" s="77"/>
    </row>
    <row r="372" spans="1:31" ht="11.85" customHeight="1">
      <c r="A372" s="22" t="s">
        <v>199</v>
      </c>
      <c r="B372" s="13" t="s">
        <v>2662</v>
      </c>
      <c r="C372" s="77"/>
      <c r="D372" s="77"/>
      <c r="E372" s="3649"/>
      <c r="F372" s="3650"/>
      <c r="G372" s="3650"/>
      <c r="H372" s="3650"/>
      <c r="I372" s="3703"/>
      <c r="J372" s="3682" t="s">
        <v>2663</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211</v>
      </c>
      <c r="B373" s="3637" t="s">
        <v>2664</v>
      </c>
      <c r="C373" s="3637"/>
      <c r="D373" s="3637"/>
      <c r="E373" s="3637"/>
      <c r="F373" s="3637"/>
      <c r="G373" s="3637"/>
      <c r="H373" s="3637"/>
      <c r="I373" s="3637"/>
      <c r="J373" s="3637"/>
      <c r="K373" s="3637"/>
      <c r="L373" s="3637"/>
      <c r="M373" s="3637"/>
      <c r="N373" s="3637"/>
      <c r="O373" s="84" t="s">
        <v>211</v>
      </c>
      <c r="P373" s="2589"/>
      <c r="Q373" s="2587"/>
      <c r="R373" s="229"/>
      <c r="S373" s="229"/>
      <c r="T373" s="229"/>
      <c r="U373" s="229"/>
      <c r="V373" s="229"/>
      <c r="W373" s="229"/>
      <c r="X373" s="229"/>
      <c r="Y373" s="229"/>
      <c r="Z373" s="229"/>
      <c r="AA373" s="229"/>
      <c r="AB373" s="229"/>
      <c r="AC373" s="229"/>
      <c r="AD373" s="229"/>
      <c r="AE373" s="229"/>
    </row>
    <row r="374" spans="1:31">
      <c r="A374" s="75" t="s">
        <v>232</v>
      </c>
      <c r="B374" s="25" t="s">
        <v>2665</v>
      </c>
      <c r="C374" s="77"/>
      <c r="D374" s="77"/>
      <c r="E374" s="77"/>
      <c r="F374" s="77"/>
      <c r="G374" s="2586"/>
      <c r="H374" s="2586"/>
      <c r="I374" s="2586"/>
      <c r="J374" s="16" t="s">
        <v>2666</v>
      </c>
      <c r="K374" s="77"/>
      <c r="L374" s="2586"/>
      <c r="M374" s="3685" t="e">
        <f>#REF!</f>
        <v>#REF!</v>
      </c>
      <c r="N374" s="3686"/>
      <c r="O374" s="84" t="s">
        <v>232</v>
      </c>
      <c r="P374" s="118"/>
      <c r="Q374" s="308"/>
      <c r="R374" s="77"/>
      <c r="S374" s="77"/>
      <c r="T374" s="77"/>
      <c r="U374" s="77"/>
      <c r="V374" s="77"/>
      <c r="W374" s="77"/>
      <c r="X374" s="77"/>
      <c r="Y374" s="77"/>
      <c r="Z374" s="77"/>
      <c r="AA374" s="77"/>
      <c r="AB374" s="77"/>
      <c r="AC374" s="77"/>
      <c r="AD374" s="77"/>
      <c r="AE374" s="77"/>
    </row>
    <row r="375" spans="1:31" ht="11.25" customHeight="1">
      <c r="A375" s="77"/>
      <c r="B375" s="74" t="s">
        <v>1440</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8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1437</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8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75"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25" customHeight="1">
      <c r="A380" s="2540" t="s">
        <v>1613</v>
      </c>
      <c r="B380" s="3" t="s">
        <v>1596</v>
      </c>
      <c r="C380" s="3"/>
      <c r="D380" s="3"/>
      <c r="E380" s="2574"/>
      <c r="F380" s="77"/>
      <c r="G380" s="73" t="s">
        <v>1597</v>
      </c>
      <c r="H380" s="2574"/>
      <c r="I380" s="2574"/>
      <c r="J380" s="2574"/>
      <c r="K380" s="2574"/>
      <c r="L380" s="2574"/>
      <c r="M380" s="2574"/>
      <c r="N380" s="77"/>
      <c r="O380" s="66" t="s">
        <v>1434</v>
      </c>
      <c r="P380" s="3646"/>
      <c r="Q380" s="4650"/>
      <c r="R380" s="77"/>
      <c r="S380" s="77"/>
      <c r="T380" s="77"/>
      <c r="U380" s="77"/>
      <c r="V380" s="77"/>
      <c r="W380" s="77"/>
      <c r="X380" s="77"/>
      <c r="Y380" s="77"/>
      <c r="Z380" s="77"/>
      <c r="AA380" s="77"/>
      <c r="AB380" s="77"/>
      <c r="AC380" s="77"/>
      <c r="AD380" s="77"/>
      <c r="AE380" s="77"/>
    </row>
    <row r="381" spans="1:31" ht="12" customHeight="1">
      <c r="A381" s="22" t="s">
        <v>199</v>
      </c>
      <c r="B381" s="13" t="s">
        <v>1598</v>
      </c>
      <c r="C381" s="77"/>
      <c r="D381" s="337"/>
      <c r="E381" s="337"/>
      <c r="F381" s="77"/>
      <c r="G381" s="77"/>
      <c r="H381" s="77"/>
      <c r="I381" s="77"/>
      <c r="J381" s="77"/>
      <c r="K381" s="77"/>
      <c r="L381" s="77"/>
      <c r="M381" s="77"/>
      <c r="N381" s="77"/>
      <c r="O381" s="28" t="s">
        <v>199</v>
      </c>
      <c r="P381" s="937"/>
      <c r="Q381" s="938"/>
      <c r="R381" s="77"/>
      <c r="S381" s="77"/>
      <c r="T381" s="77"/>
      <c r="U381" s="77"/>
      <c r="V381" s="77"/>
      <c r="W381" s="77"/>
      <c r="X381" s="77"/>
      <c r="Y381" s="77"/>
      <c r="Z381" s="77"/>
      <c r="AA381" s="77"/>
      <c r="AB381" s="77"/>
      <c r="AC381" s="77"/>
      <c r="AD381" s="77"/>
      <c r="AE381" s="77"/>
    </row>
    <row r="382" spans="1:31" ht="12" customHeight="1">
      <c r="A382" s="22" t="s">
        <v>211</v>
      </c>
      <c r="B382" s="13" t="s">
        <v>1599</v>
      </c>
      <c r="C382" s="77"/>
      <c r="D382" s="337"/>
      <c r="E382" s="337"/>
      <c r="F382" s="77"/>
      <c r="G382" s="77"/>
      <c r="H382" s="77"/>
      <c r="I382" s="77"/>
      <c r="J382" s="77"/>
      <c r="K382" s="77"/>
      <c r="L382" s="77"/>
      <c r="M382" s="77"/>
      <c r="N382" s="77"/>
      <c r="O382" s="28" t="s">
        <v>211</v>
      </c>
      <c r="P382" s="202"/>
      <c r="Q382" s="307"/>
      <c r="R382" s="77"/>
      <c r="S382" s="77"/>
      <c r="T382" s="77"/>
      <c r="U382" s="77"/>
      <c r="V382" s="77"/>
      <c r="W382" s="77"/>
      <c r="X382" s="77"/>
      <c r="Y382" s="77"/>
      <c r="Z382" s="77"/>
      <c r="AA382" s="77"/>
      <c r="AB382" s="77"/>
      <c r="AC382" s="77"/>
      <c r="AD382" s="77"/>
      <c r="AE382" s="77"/>
    </row>
    <row r="383" spans="1:31" ht="12" customHeight="1">
      <c r="A383" s="22" t="s">
        <v>232</v>
      </c>
      <c r="B383" s="13" t="s">
        <v>2667</v>
      </c>
      <c r="C383" s="77"/>
      <c r="D383" s="337"/>
      <c r="E383" s="337"/>
      <c r="F383" s="77"/>
      <c r="G383" s="77"/>
      <c r="H383" s="77"/>
      <c r="I383" s="77"/>
      <c r="J383" s="77"/>
      <c r="K383" s="77"/>
      <c r="L383" s="77"/>
      <c r="M383" s="77"/>
      <c r="N383" s="77"/>
      <c r="O383" s="28" t="s">
        <v>232</v>
      </c>
      <c r="P383" s="202"/>
      <c r="Q383" s="307"/>
      <c r="R383" s="77"/>
      <c r="S383" s="77"/>
      <c r="T383" s="77"/>
      <c r="U383" s="77"/>
      <c r="V383" s="77"/>
      <c r="W383" s="77"/>
      <c r="X383" s="77"/>
      <c r="Y383" s="77"/>
      <c r="Z383" s="77"/>
      <c r="AA383" s="77"/>
      <c r="AB383" s="77"/>
      <c r="AC383" s="77"/>
      <c r="AD383" s="77"/>
      <c r="AE383" s="77"/>
    </row>
    <row r="384" spans="1:31" ht="12" customHeight="1">
      <c r="A384" s="22" t="s">
        <v>234</v>
      </c>
      <c r="B384" s="13" t="s">
        <v>2668</v>
      </c>
      <c r="C384" s="77"/>
      <c r="D384" s="77"/>
      <c r="E384" s="73"/>
      <c r="F384" s="77"/>
      <c r="G384" s="77"/>
      <c r="H384" s="77"/>
      <c r="I384" s="77"/>
      <c r="J384" s="77"/>
      <c r="K384" s="77"/>
      <c r="L384" s="77"/>
      <c r="M384" s="77"/>
      <c r="N384" s="77"/>
      <c r="O384" s="28" t="s">
        <v>234</v>
      </c>
      <c r="P384" s="202"/>
      <c r="Q384" s="307"/>
      <c r="R384" s="77"/>
      <c r="S384" s="77"/>
      <c r="T384" s="77"/>
      <c r="U384" s="77"/>
      <c r="V384" s="77"/>
      <c r="W384" s="77"/>
      <c r="X384" s="77"/>
      <c r="Y384" s="77"/>
      <c r="Z384" s="77"/>
      <c r="AA384" s="77"/>
      <c r="AB384" s="77"/>
      <c r="AC384" s="77"/>
      <c r="AD384" s="77"/>
      <c r="AE384" s="77"/>
    </row>
    <row r="385" spans="1:31" ht="12" customHeight="1">
      <c r="A385" s="22" t="s">
        <v>241</v>
      </c>
      <c r="B385" s="13" t="s">
        <v>2669</v>
      </c>
      <c r="C385" s="77"/>
      <c r="D385" s="77"/>
      <c r="E385" s="73"/>
      <c r="F385" s="77"/>
      <c r="G385" s="28" t="s">
        <v>241</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1440</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8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1437</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8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25" customHeight="1">
      <c r="A391" s="2540" t="s">
        <v>1620</v>
      </c>
      <c r="B391" s="3" t="s">
        <v>1602</v>
      </c>
      <c r="C391" s="3"/>
      <c r="D391" s="3"/>
      <c r="E391" s="3"/>
      <c r="F391" s="3"/>
      <c r="G391" s="3"/>
      <c r="H391" s="2574"/>
      <c r="I391" s="2574"/>
      <c r="J391" s="2574"/>
      <c r="K391" s="2574"/>
      <c r="L391" s="2574"/>
      <c r="M391" s="2574"/>
      <c r="N391" s="77"/>
      <c r="O391" s="66" t="s">
        <v>1434</v>
      </c>
      <c r="P391" s="3646"/>
      <c r="Q391" s="3647"/>
      <c r="R391" s="77"/>
      <c r="S391" s="77"/>
      <c r="T391" s="77"/>
      <c r="U391" s="77"/>
      <c r="V391" s="77"/>
      <c r="W391" s="77"/>
      <c r="X391" s="77"/>
      <c r="Y391" s="77"/>
      <c r="Z391" s="77"/>
      <c r="AA391" s="77"/>
      <c r="AB391" s="77"/>
      <c r="AC391" s="77"/>
      <c r="AD391" s="77"/>
      <c r="AE391" s="77"/>
    </row>
    <row r="392" spans="1:31" ht="12" customHeight="1">
      <c r="A392" s="77"/>
      <c r="B392" s="25" t="s">
        <v>1603</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199</v>
      </c>
      <c r="B393" s="38" t="s">
        <v>2670</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214</v>
      </c>
      <c r="C394" s="25" t="s">
        <v>1604</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2671</v>
      </c>
      <c r="D395" s="25" t="s">
        <v>2672</v>
      </c>
      <c r="E395" s="43"/>
      <c r="F395" s="43"/>
      <c r="G395" s="43"/>
      <c r="H395" s="43"/>
      <c r="I395" s="43"/>
      <c r="J395" s="43"/>
      <c r="K395" s="43"/>
      <c r="L395" s="43"/>
      <c r="M395" s="43"/>
      <c r="N395" s="43"/>
      <c r="O395" s="28" t="s">
        <v>2671</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2673</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2469</v>
      </c>
      <c r="D397" s="13" t="s">
        <v>2674</v>
      </c>
      <c r="E397" s="13"/>
      <c r="F397" s="13"/>
      <c r="G397" s="13"/>
      <c r="H397" s="13"/>
      <c r="I397" s="13"/>
      <c r="J397" s="13"/>
      <c r="K397" s="13"/>
      <c r="L397" s="13"/>
      <c r="M397" s="13"/>
      <c r="N397" s="43"/>
      <c r="O397" s="28" t="s">
        <v>2469</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2675</v>
      </c>
      <c r="D398" s="13" t="s">
        <v>2676</v>
      </c>
      <c r="E398" s="13"/>
      <c r="F398" s="13"/>
      <c r="G398" s="13"/>
      <c r="H398" s="13"/>
      <c r="I398" s="13"/>
      <c r="J398" s="13"/>
      <c r="K398" s="13"/>
      <c r="L398" s="13"/>
      <c r="M398" s="13"/>
      <c r="N398" s="43"/>
      <c r="O398" s="28" t="s">
        <v>2677</v>
      </c>
      <c r="P398" s="1328"/>
      <c r="Q398" s="2575"/>
    </row>
    <row r="399" spans="1:31" ht="12" customHeight="1">
      <c r="A399" s="22"/>
      <c r="B399" s="961" t="s">
        <v>222</v>
      </c>
      <c r="C399" s="13" t="s">
        <v>2678</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226</v>
      </c>
      <c r="C400" s="3637" t="s">
        <v>2679</v>
      </c>
      <c r="D400" s="3637"/>
      <c r="E400" s="3637"/>
      <c r="F400" s="3637"/>
      <c r="G400" s="13" t="s">
        <v>2680</v>
      </c>
      <c r="H400" s="77"/>
      <c r="I400" s="77"/>
      <c r="J400" s="4655"/>
      <c r="K400" s="4656"/>
      <c r="L400" s="77"/>
      <c r="M400" s="13" t="s">
        <v>2681</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2682</v>
      </c>
      <c r="H401" s="77"/>
      <c r="I401" s="77"/>
      <c r="J401" s="542"/>
      <c r="K401" s="310"/>
      <c r="L401" s="77"/>
      <c r="M401" s="13" t="s">
        <v>2683</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2684</v>
      </c>
      <c r="J403" s="3643" t="s">
        <v>2685</v>
      </c>
      <c r="K403" s="3643" t="s">
        <v>2686</v>
      </c>
      <c r="L403" s="3643"/>
      <c r="M403" s="3643"/>
      <c r="N403" s="3669" t="s">
        <v>2687</v>
      </c>
      <c r="O403" s="28"/>
      <c r="P403" s="3756" t="s">
        <v>2688</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2689</v>
      </c>
      <c r="D405" s="3637"/>
      <c r="E405" s="3637"/>
      <c r="F405" s="3637"/>
      <c r="G405" s="3637"/>
      <c r="H405" s="3637"/>
      <c r="I405" s="259">
        <f>K290</f>
        <v>0</v>
      </c>
      <c r="J405" s="1331"/>
      <c r="K405" s="3644"/>
      <c r="L405" s="3644"/>
      <c r="M405" s="3645"/>
      <c r="N405" s="1180">
        <f>MAX(J405,K405)</f>
        <v>0</v>
      </c>
      <c r="O405" s="28" t="s">
        <v>2690</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7"/>
      <c r="D406" s="3637"/>
      <c r="E406" s="3637"/>
      <c r="F406" s="3637"/>
      <c r="G406" s="3637"/>
      <c r="H406" s="3637"/>
      <c r="I406" s="2512"/>
      <c r="J406" s="1332"/>
      <c r="K406" s="3671"/>
      <c r="L406" s="3671"/>
      <c r="M406" s="3672"/>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2691</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1"/>
      <c r="L409" s="3671"/>
      <c r="M409" s="3672"/>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2692</v>
      </c>
      <c r="D411" s="3637"/>
      <c r="E411" s="3637"/>
      <c r="F411" s="3637"/>
      <c r="G411" s="3637"/>
      <c r="H411" s="3637"/>
      <c r="I411" s="259">
        <f>K293</f>
        <v>0</v>
      </c>
      <c r="J411" s="1331"/>
      <c r="K411" s="3644"/>
      <c r="L411" s="3644"/>
      <c r="M411" s="3645"/>
      <c r="N411" s="1180">
        <f>MAX(J411,K411)</f>
        <v>0</v>
      </c>
      <c r="O411" s="28" t="s">
        <v>2693</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7"/>
      <c r="D412" s="3637"/>
      <c r="E412" s="3637"/>
      <c r="F412" s="3637"/>
      <c r="G412" s="3637"/>
      <c r="H412" s="3637"/>
      <c r="I412" s="2511"/>
      <c r="J412" s="1332"/>
      <c r="K412" s="3671"/>
      <c r="L412" s="3671"/>
      <c r="M412" s="3672"/>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266</v>
      </c>
      <c r="C414" s="16" t="s">
        <v>2694</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2695</v>
      </c>
      <c r="D415" s="77"/>
      <c r="E415" s="16"/>
      <c r="F415" s="16"/>
      <c r="G415" s="77"/>
      <c r="H415" s="77"/>
      <c r="I415" s="77"/>
      <c r="J415" s="77"/>
      <c r="K415" s="77"/>
      <c r="L415" s="16"/>
      <c r="M415" s="16"/>
      <c r="N415" s="77"/>
      <c r="O415" s="28" t="s">
        <v>2467</v>
      </c>
      <c r="P415" s="267" t="s">
        <v>726</v>
      </c>
      <c r="Q415" s="306" t="s">
        <v>726</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2696</v>
      </c>
      <c r="E416" s="246" t="s">
        <v>2697</v>
      </c>
      <c r="F416" s="25" t="s">
        <v>2698</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2699</v>
      </c>
      <c r="F417" s="25" t="s">
        <v>2700</v>
      </c>
      <c r="G417" s="3679" t="s">
        <v>1194</v>
      </c>
      <c r="H417" s="3680"/>
      <c r="I417" s="3681"/>
      <c r="J417" s="25" t="s">
        <v>2701</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2702</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85" customHeight="1">
      <c r="A419" s="77"/>
      <c r="B419" s="3673"/>
      <c r="C419" s="3674"/>
      <c r="D419" s="3674"/>
      <c r="E419" s="3674"/>
      <c r="F419" s="3674"/>
      <c r="G419" s="3674"/>
      <c r="H419" s="3674"/>
      <c r="I419" s="3674"/>
      <c r="J419" s="3674"/>
      <c r="K419" s="3674"/>
      <c r="L419" s="3674"/>
      <c r="M419" s="3674"/>
      <c r="N419" s="3674"/>
      <c r="O419" s="3674"/>
      <c r="P419" s="3674"/>
      <c r="Q419" s="3675"/>
      <c r="R419" s="248" t="s">
        <v>2703</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211</v>
      </c>
      <c r="B421" s="3641" t="s">
        <v>2704</v>
      </c>
      <c r="C421" s="3637"/>
      <c r="D421" s="3637"/>
      <c r="E421" s="3637"/>
      <c r="F421" s="3637"/>
      <c r="G421" s="3637"/>
      <c r="H421" s="3637"/>
      <c r="I421" s="3637"/>
      <c r="J421" s="3637"/>
      <c r="K421" s="3637"/>
      <c r="L421" s="3637"/>
      <c r="M421" s="3637"/>
      <c r="N421" s="3637"/>
    </row>
    <row r="422" spans="1:31" s="77" customFormat="1" ht="45" customHeight="1">
      <c r="B422" s="3637" t="s">
        <v>2705</v>
      </c>
      <c r="C422" s="3637"/>
      <c r="D422" s="3637"/>
      <c r="E422" s="3637"/>
      <c r="F422" s="3637"/>
      <c r="G422" s="3637"/>
      <c r="H422" s="3637"/>
      <c r="I422" s="3637"/>
      <c r="J422" s="3637"/>
      <c r="K422" s="3637"/>
      <c r="L422" s="3637"/>
      <c r="M422" s="3637"/>
      <c r="N422" s="3637"/>
      <c r="O422" s="84" t="s">
        <v>211</v>
      </c>
      <c r="P422" s="675"/>
      <c r="Q422" s="676"/>
    </row>
    <row r="423" spans="1:31" ht="12" customHeight="1">
      <c r="A423" s="77"/>
      <c r="B423" s="74" t="s">
        <v>1440</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75"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1437</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75"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25" customHeight="1">
      <c r="A428" s="2540" t="s">
        <v>1624</v>
      </c>
      <c r="B428" s="3" t="s">
        <v>1609</v>
      </c>
      <c r="C428" s="3"/>
      <c r="D428" s="38"/>
      <c r="E428" s="2574"/>
      <c r="F428" s="2574"/>
      <c r="G428" s="2574"/>
      <c r="H428" s="2574"/>
      <c r="I428" s="77"/>
      <c r="J428" s="77"/>
      <c r="K428" s="77"/>
      <c r="L428" s="77"/>
      <c r="M428" s="77"/>
      <c r="N428" s="77"/>
      <c r="O428" s="66" t="s">
        <v>1434</v>
      </c>
      <c r="P428" s="3646"/>
      <c r="Q428" s="3647"/>
      <c r="R428" s="77"/>
      <c r="S428" s="77"/>
      <c r="T428" s="77"/>
      <c r="U428" s="77"/>
      <c r="V428" s="77"/>
      <c r="W428" s="77"/>
      <c r="X428" s="77"/>
      <c r="Y428" s="77"/>
      <c r="Z428" s="77"/>
      <c r="AA428" s="77"/>
      <c r="AB428" s="77"/>
      <c r="AC428" s="77"/>
      <c r="AD428" s="77"/>
      <c r="AE428" s="77"/>
    </row>
    <row r="429" spans="1:31" ht="14.25" customHeight="1">
      <c r="A429" s="77"/>
      <c r="B429" s="38" t="s">
        <v>2706</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199</v>
      </c>
      <c r="B430" s="3637" t="s">
        <v>2707</v>
      </c>
      <c r="C430" s="3637"/>
      <c r="D430" s="3637"/>
      <c r="E430" s="3637"/>
      <c r="F430" s="3637"/>
      <c r="G430" s="3637"/>
      <c r="H430" s="3637"/>
      <c r="I430" s="3637"/>
      <c r="J430" s="3637"/>
      <c r="K430" s="3637"/>
      <c r="L430" s="3637"/>
      <c r="M430" s="3637"/>
      <c r="N430" s="3637"/>
      <c r="O430" s="84" t="s">
        <v>199</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211</v>
      </c>
      <c r="B431" s="3637" t="s">
        <v>2708</v>
      </c>
      <c r="C431" s="3637"/>
      <c r="D431" s="3637"/>
      <c r="E431" s="3637"/>
      <c r="F431" s="3637"/>
      <c r="G431" s="3637"/>
      <c r="H431" s="3637"/>
      <c r="I431" s="3637"/>
      <c r="J431" s="3637"/>
      <c r="K431" s="3637"/>
      <c r="L431" s="3637"/>
      <c r="M431" s="3637"/>
      <c r="N431" s="3637"/>
      <c r="O431" s="84" t="s">
        <v>211</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1509</v>
      </c>
      <c r="C432" s="3637" t="s">
        <v>2709</v>
      </c>
      <c r="D432" s="3637"/>
      <c r="E432" s="3637"/>
      <c r="F432" s="3637"/>
      <c r="G432" s="3637"/>
      <c r="H432" s="3637"/>
      <c r="I432" s="3637"/>
      <c r="J432" s="3637"/>
      <c r="K432" s="3637"/>
      <c r="L432" s="3637"/>
      <c r="M432" s="3637"/>
      <c r="N432" s="3637"/>
      <c r="O432" s="84" t="s">
        <v>1509</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1512</v>
      </c>
      <c r="C433" s="13" t="s">
        <v>2710</v>
      </c>
      <c r="D433" s="68"/>
      <c r="E433" s="68"/>
      <c r="F433" s="68"/>
      <c r="G433" s="68"/>
      <c r="H433" s="68"/>
      <c r="I433" s="68"/>
      <c r="J433" s="68"/>
      <c r="K433" s="68"/>
      <c r="L433" s="68"/>
      <c r="M433" s="68"/>
      <c r="N433" s="68"/>
      <c r="O433" s="28" t="s">
        <v>1512</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1514</v>
      </c>
      <c r="C434" s="3637" t="s">
        <v>2711</v>
      </c>
      <c r="D434" s="3637"/>
      <c r="E434" s="3637"/>
      <c r="F434" s="3637"/>
      <c r="G434" s="3637"/>
      <c r="H434" s="3637"/>
      <c r="I434" s="3637"/>
      <c r="J434" s="3637"/>
      <c r="K434" s="3637"/>
      <c r="L434" s="3637"/>
      <c r="M434" s="3637"/>
      <c r="N434" s="3637"/>
      <c r="O434" s="84" t="s">
        <v>1514</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1516</v>
      </c>
      <c r="C435" s="3637" t="s">
        <v>2712</v>
      </c>
      <c r="D435" s="3637"/>
      <c r="E435" s="3637"/>
      <c r="F435" s="3637"/>
      <c r="G435" s="3637"/>
      <c r="H435" s="3637"/>
      <c r="I435" s="3637"/>
      <c r="J435" s="3637"/>
      <c r="K435" s="3637"/>
      <c r="L435" s="3637"/>
      <c r="M435" s="3637"/>
      <c r="N435" s="3637"/>
      <c r="O435" s="84" t="s">
        <v>1516</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232</v>
      </c>
      <c r="B436" s="3637" t="s">
        <v>2713</v>
      </c>
      <c r="C436" s="3637"/>
      <c r="D436" s="3637"/>
      <c r="E436" s="3637"/>
      <c r="F436" s="3637"/>
      <c r="G436" s="3637"/>
      <c r="H436" s="3637"/>
      <c r="I436" s="3637"/>
      <c r="J436" s="3637"/>
      <c r="K436" s="3637"/>
      <c r="L436" s="3637"/>
      <c r="M436" s="3637"/>
      <c r="N436" s="3637"/>
      <c r="O436" s="84" t="s">
        <v>232</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234</v>
      </c>
      <c r="B437" s="3637" t="s">
        <v>2714</v>
      </c>
      <c r="C437" s="3637"/>
      <c r="D437" s="3637"/>
      <c r="E437" s="3637"/>
      <c r="F437" s="3637"/>
      <c r="G437" s="3637"/>
      <c r="H437" s="3637"/>
      <c r="I437" s="3637"/>
      <c r="J437" s="3637"/>
      <c r="K437" s="3637"/>
      <c r="L437" s="3637"/>
      <c r="M437" s="3637"/>
      <c r="N437" s="3637"/>
      <c r="O437" s="84" t="s">
        <v>234</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241</v>
      </c>
      <c r="B438" s="3637" t="s">
        <v>2715</v>
      </c>
      <c r="C438" s="3637"/>
      <c r="D438" s="3637"/>
      <c r="E438" s="3637"/>
      <c r="F438" s="3637"/>
      <c r="G438" s="3637"/>
      <c r="H438" s="3637"/>
      <c r="I438" s="3637"/>
      <c r="J438" s="3637"/>
      <c r="K438" s="3637"/>
      <c r="L438" s="3637"/>
      <c r="M438" s="3637"/>
      <c r="N438" s="3637"/>
      <c r="O438" s="84" t="s">
        <v>241</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243</v>
      </c>
      <c r="B439" s="3637" t="s">
        <v>2716</v>
      </c>
      <c r="C439" s="3637"/>
      <c r="D439" s="3637"/>
      <c r="E439" s="3637"/>
      <c r="F439" s="3637"/>
      <c r="G439" s="3637"/>
      <c r="H439" s="3637"/>
      <c r="I439" s="3637"/>
      <c r="J439" s="3637"/>
      <c r="K439" s="3637"/>
      <c r="L439" s="3637"/>
      <c r="M439" s="3637"/>
      <c r="N439" s="3637"/>
      <c r="O439" s="84" t="s">
        <v>243</v>
      </c>
      <c r="P439" s="2590"/>
      <c r="Q439" s="2588"/>
    </row>
    <row r="440" spans="1:31" ht="11.25" customHeight="1">
      <c r="A440" s="77"/>
      <c r="B440" s="74" t="s">
        <v>1440</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2400</v>
      </c>
      <c r="S441" s="249"/>
      <c r="T441" s="77"/>
      <c r="U441" s="69"/>
      <c r="V441" s="69"/>
      <c r="W441" s="69"/>
      <c r="X441" s="69"/>
      <c r="Y441" s="69"/>
      <c r="Z441" s="69"/>
      <c r="AA441" s="69"/>
      <c r="AB441" s="69"/>
      <c r="AC441" s="69"/>
      <c r="AD441" s="69"/>
      <c r="AE441" s="69"/>
    </row>
    <row r="442" spans="1:31" ht="11.25" customHeight="1">
      <c r="A442" s="77"/>
      <c r="B442" s="70" t="s">
        <v>1437</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25" customHeight="1">
      <c r="A445" s="2540" t="s">
        <v>1629</v>
      </c>
      <c r="B445" s="3"/>
      <c r="C445" s="3" t="s">
        <v>1630</v>
      </c>
      <c r="D445" s="38"/>
      <c r="E445" s="2574"/>
      <c r="F445" s="2574"/>
      <c r="G445" s="2574"/>
      <c r="H445" s="2574"/>
      <c r="I445" s="77"/>
      <c r="J445" s="2574"/>
      <c r="K445" s="2574"/>
      <c r="L445" s="2574"/>
      <c r="M445" s="2574"/>
      <c r="N445" s="77"/>
      <c r="O445" s="66" t="s">
        <v>1434</v>
      </c>
      <c r="P445" s="3646"/>
      <c r="Q445" s="3647"/>
      <c r="R445" s="77"/>
      <c r="S445" s="77"/>
      <c r="T445" s="77"/>
      <c r="U445" s="77"/>
      <c r="V445" s="77"/>
      <c r="W445" s="77"/>
      <c r="X445" s="77"/>
      <c r="Y445" s="77"/>
      <c r="Z445" s="77"/>
      <c r="AA445" s="77"/>
      <c r="AB445" s="77"/>
      <c r="AC445" s="77"/>
      <c r="AD445" s="77"/>
      <c r="AE445" s="77"/>
    </row>
    <row r="446" spans="1:31" ht="11.25" customHeight="1">
      <c r="A446" s="2540"/>
      <c r="B446" s="74" t="s">
        <v>1440</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2400</v>
      </c>
      <c r="S447" s="249"/>
      <c r="T447" s="77"/>
      <c r="U447" s="69"/>
      <c r="V447" s="69"/>
      <c r="W447" s="69"/>
      <c r="X447" s="69"/>
      <c r="Y447" s="69"/>
      <c r="Z447" s="69"/>
      <c r="AA447" s="69"/>
      <c r="AB447" s="69"/>
      <c r="AC447" s="69"/>
      <c r="AD447" s="69"/>
      <c r="AE447" s="69"/>
    </row>
    <row r="448" spans="1:31" ht="11.25" customHeight="1">
      <c r="A448" s="77"/>
      <c r="B448" s="70" t="s">
        <v>1437</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1">
      <c r="A456" s="25"/>
      <c r="B456" s="25"/>
      <c r="C456" s="613" t="s">
        <v>726</v>
      </c>
      <c r="J456" s="1438" t="s">
        <v>1632</v>
      </c>
      <c r="N456" s="614"/>
      <c r="O456" s="1438" t="s">
        <v>1633</v>
      </c>
      <c r="P456" s="1439"/>
      <c r="R456" s="25"/>
    </row>
    <row r="457" spans="1:18" s="613" customFormat="1" ht="11.1">
      <c r="A457" s="25"/>
      <c r="B457" s="25"/>
      <c r="C457" s="1440" t="s">
        <v>1634</v>
      </c>
      <c r="J457" s="1438" t="s">
        <v>1635</v>
      </c>
      <c r="N457" s="614"/>
      <c r="O457" s="1438" t="s">
        <v>1636</v>
      </c>
      <c r="P457" s="1439"/>
      <c r="R457" s="25"/>
    </row>
    <row r="458" spans="1:18" s="613" customFormat="1" ht="11.1">
      <c r="A458" s="25"/>
      <c r="B458" s="25"/>
      <c r="C458" s="1440" t="s">
        <v>1637</v>
      </c>
      <c r="J458" s="1438" t="s">
        <v>1638</v>
      </c>
      <c r="N458" s="614"/>
      <c r="O458" s="1438" t="s">
        <v>1639</v>
      </c>
      <c r="P458" s="1439"/>
      <c r="R458" s="25"/>
    </row>
    <row r="459" spans="1:18" s="613" customFormat="1" ht="11.1">
      <c r="A459" s="25"/>
      <c r="B459" s="25"/>
      <c r="C459" s="1440" t="s">
        <v>1640</v>
      </c>
      <c r="J459" s="1438" t="s">
        <v>1641</v>
      </c>
      <c r="N459" s="614"/>
      <c r="O459" s="1438" t="s">
        <v>1642</v>
      </c>
      <c r="P459" s="1439"/>
      <c r="R459" s="25"/>
    </row>
    <row r="460" spans="1:18" s="613" customFormat="1" ht="11.1">
      <c r="A460" s="25"/>
      <c r="B460" s="25"/>
      <c r="C460" s="1440" t="s">
        <v>1643</v>
      </c>
      <c r="J460" s="1438" t="s">
        <v>1644</v>
      </c>
      <c r="N460" s="614"/>
      <c r="O460" s="1438" t="s">
        <v>1645</v>
      </c>
      <c r="P460" s="1439"/>
      <c r="R460" s="25"/>
    </row>
    <row r="461" spans="1:18" s="613" customFormat="1" ht="11.1">
      <c r="A461" s="25"/>
      <c r="B461" s="25"/>
      <c r="C461" s="1440" t="s">
        <v>1646</v>
      </c>
      <c r="J461" s="1438" t="s">
        <v>1647</v>
      </c>
      <c r="N461" s="614"/>
      <c r="O461" s="1438" t="s">
        <v>1648</v>
      </c>
      <c r="P461" s="1439"/>
      <c r="R461" s="25"/>
    </row>
    <row r="462" spans="1:18" s="613" customFormat="1" ht="11.1">
      <c r="A462" s="25"/>
      <c r="B462" s="25"/>
      <c r="C462" s="1440" t="s">
        <v>1649</v>
      </c>
      <c r="J462" s="1438" t="s">
        <v>1650</v>
      </c>
      <c r="N462" s="614"/>
      <c r="O462" s="1438" t="s">
        <v>1651</v>
      </c>
      <c r="P462" s="1439"/>
      <c r="R462" s="25"/>
    </row>
    <row r="463" spans="1:18" s="613" customFormat="1" ht="11.1">
      <c r="A463" s="25"/>
      <c r="B463" s="25"/>
      <c r="C463" s="1440" t="s">
        <v>1652</v>
      </c>
      <c r="J463" s="1438" t="s">
        <v>1653</v>
      </c>
      <c r="N463" s="614"/>
      <c r="O463" s="613" t="s">
        <v>1654</v>
      </c>
      <c r="P463" s="1439"/>
      <c r="R463" s="25"/>
    </row>
    <row r="464" spans="1:18" s="613" customFormat="1" ht="11.1">
      <c r="A464" s="25"/>
      <c r="B464" s="25"/>
      <c r="C464" s="1440" t="s">
        <v>1655</v>
      </c>
      <c r="J464" s="1438" t="s">
        <v>1656</v>
      </c>
      <c r="N464" s="614"/>
      <c r="O464" s="613" t="s">
        <v>1657</v>
      </c>
      <c r="P464" s="1439"/>
      <c r="R464" s="25"/>
    </row>
    <row r="465" spans="1:22" s="613" customFormat="1" ht="11.1">
      <c r="A465" s="25"/>
      <c r="B465" s="25"/>
      <c r="C465" s="1440" t="s">
        <v>1658</v>
      </c>
      <c r="J465" s="1438" t="s">
        <v>1659</v>
      </c>
      <c r="N465" s="614"/>
      <c r="O465" s="1438"/>
      <c r="P465" s="1439"/>
      <c r="R465" s="25"/>
    </row>
    <row r="466" spans="1:22" s="613" customFormat="1" ht="11.1">
      <c r="A466" s="25"/>
      <c r="B466" s="25"/>
      <c r="C466" s="1440" t="s">
        <v>1660</v>
      </c>
      <c r="J466" s="1438" t="s">
        <v>1661</v>
      </c>
      <c r="N466" s="614"/>
      <c r="O466" s="1439"/>
      <c r="P466" s="1439"/>
      <c r="R466" s="25"/>
    </row>
    <row r="467" spans="1:22" s="613" customFormat="1" ht="11.1">
      <c r="A467" s="25"/>
      <c r="B467" s="25"/>
      <c r="C467" s="1440" t="s">
        <v>1662</v>
      </c>
      <c r="J467" s="1438" t="s">
        <v>1663</v>
      </c>
      <c r="N467" s="614"/>
      <c r="O467" s="1438"/>
      <c r="P467" s="1439"/>
      <c r="R467" s="25"/>
    </row>
    <row r="468" spans="1:22" s="613" customFormat="1" ht="11.1">
      <c r="A468" s="25"/>
      <c r="B468" s="25"/>
      <c r="C468" s="1440" t="s">
        <v>1664</v>
      </c>
      <c r="N468" s="614"/>
      <c r="O468" s="1439"/>
      <c r="P468" s="1439"/>
      <c r="R468" s="25"/>
    </row>
    <row r="469" spans="1:22" s="613" customFormat="1" ht="11.1">
      <c r="A469" s="25"/>
      <c r="B469" s="25"/>
      <c r="N469" s="614"/>
      <c r="O469" s="1439"/>
      <c r="P469" s="1439"/>
      <c r="R469" s="25"/>
    </row>
    <row r="470" spans="1:22" s="613" customFormat="1" ht="11.1">
      <c r="A470" s="25"/>
      <c r="B470" s="25"/>
      <c r="R470" s="25"/>
      <c r="S470" s="25"/>
      <c r="T470" s="25"/>
      <c r="U470" s="25"/>
      <c r="V470" s="25"/>
    </row>
    <row r="471" spans="1:22" s="613" customFormat="1" ht="11.1">
      <c r="A471" s="25"/>
      <c r="B471" s="25"/>
      <c r="C471" s="1441" t="s">
        <v>1668</v>
      </c>
      <c r="R471" s="25"/>
    </row>
    <row r="472" spans="1:22" s="613" customFormat="1" ht="11.1">
      <c r="A472" s="25"/>
      <c r="B472" s="25"/>
      <c r="C472" s="613" t="s">
        <v>1669</v>
      </c>
      <c r="R472" s="25"/>
    </row>
    <row r="473" spans="1:22" s="613" customFormat="1" ht="11.1">
      <c r="A473" s="25"/>
      <c r="B473" s="25"/>
      <c r="C473" s="1440" t="s">
        <v>1670</v>
      </c>
      <c r="R473" s="25"/>
    </row>
    <row r="474" spans="1:22" s="613" customFormat="1" ht="11.1">
      <c r="A474" s="25"/>
      <c r="B474" s="25"/>
      <c r="C474" s="1440" t="s">
        <v>1671</v>
      </c>
      <c r="L474" s="1440"/>
      <c r="R474" s="25"/>
    </row>
    <row r="475" spans="1:22" s="613" customFormat="1" ht="11.1">
      <c r="A475" s="25"/>
      <c r="B475" s="25"/>
      <c r="C475" s="1440" t="s">
        <v>1672</v>
      </c>
      <c r="L475" s="1440"/>
      <c r="R475" s="25"/>
    </row>
    <row r="476" spans="1:22" s="613" customFormat="1" ht="11.1">
      <c r="A476" s="25"/>
      <c r="B476" s="25"/>
      <c r="C476" s="1440" t="s">
        <v>1673</v>
      </c>
      <c r="L476" s="1440"/>
      <c r="R476" s="25"/>
    </row>
    <row r="477" spans="1:22" s="613" customFormat="1" ht="11.1">
      <c r="A477" s="25"/>
      <c r="B477" s="25"/>
      <c r="C477" s="1440" t="s">
        <v>1674</v>
      </c>
      <c r="L477" s="1440"/>
      <c r="R477" s="25"/>
    </row>
    <row r="478" spans="1:22" s="613" customFormat="1" ht="11.1">
      <c r="A478" s="25"/>
      <c r="B478" s="25"/>
      <c r="C478" s="613" t="s">
        <v>1675</v>
      </c>
      <c r="L478" s="1440"/>
      <c r="R478" s="25"/>
    </row>
    <row r="479" spans="1:22" s="613" customFormat="1" ht="11.1">
      <c r="A479" s="25"/>
      <c r="B479" s="25"/>
      <c r="C479" s="613" t="s">
        <v>1676</v>
      </c>
      <c r="R479" s="25"/>
    </row>
    <row r="480" spans="1:22" s="613" customFormat="1" ht="11.1">
      <c r="A480" s="25"/>
      <c r="B480" s="25"/>
      <c r="C480" s="1440" t="s">
        <v>1677</v>
      </c>
      <c r="L480" s="1440"/>
      <c r="R480" s="25"/>
    </row>
    <row r="481" spans="1:18" s="613" customFormat="1" ht="11.1">
      <c r="A481" s="25"/>
      <c r="B481" s="25"/>
      <c r="C481" s="613" t="s">
        <v>1678</v>
      </c>
      <c r="L481" s="1440"/>
      <c r="R481" s="25"/>
    </row>
    <row r="482" spans="1:18" s="613" customFormat="1" ht="11.1">
      <c r="A482" s="25"/>
      <c r="B482" s="25"/>
      <c r="C482" s="613" t="s">
        <v>1674</v>
      </c>
      <c r="L482" s="1440"/>
      <c r="R482" s="25"/>
    </row>
    <row r="483" spans="1:18" s="613" customFormat="1" ht="11.1">
      <c r="A483" s="25"/>
      <c r="B483" s="25"/>
      <c r="C483" s="613" t="s">
        <v>1679</v>
      </c>
      <c r="L483" s="1440"/>
      <c r="R483" s="25"/>
    </row>
    <row r="484" spans="1:18" s="613" customFormat="1" ht="11.1">
      <c r="A484" s="25"/>
      <c r="B484" s="25"/>
      <c r="C484" s="613" t="s">
        <v>1680</v>
      </c>
      <c r="R484" s="25"/>
    </row>
    <row r="485" spans="1:18" s="613" customFormat="1" ht="11.1">
      <c r="A485" s="25"/>
      <c r="B485" s="25"/>
      <c r="C485" s="1440" t="s">
        <v>1681</v>
      </c>
      <c r="L485" s="1440"/>
      <c r="R485" s="25"/>
    </row>
    <row r="486" spans="1:18" s="613" customFormat="1" ht="11.1">
      <c r="A486" s="25"/>
      <c r="B486" s="25"/>
      <c r="C486" s="613" t="s">
        <v>1682</v>
      </c>
      <c r="L486" s="1440"/>
      <c r="R486" s="25"/>
    </row>
    <row r="487" spans="1:18" s="613" customFormat="1" ht="11.1">
      <c r="A487" s="25"/>
      <c r="B487" s="25"/>
      <c r="C487" s="613" t="s">
        <v>1683</v>
      </c>
      <c r="L487" s="1440"/>
      <c r="R487" s="25"/>
    </row>
    <row r="488" spans="1:18" s="613" customFormat="1" ht="11.1">
      <c r="A488" s="25"/>
      <c r="B488" s="25"/>
      <c r="C488" s="613" t="s">
        <v>1684</v>
      </c>
      <c r="K488" s="1441" t="s">
        <v>1685</v>
      </c>
      <c r="L488" s="1440"/>
      <c r="R488" s="25"/>
    </row>
    <row r="489" spans="1:18" s="613" customFormat="1" ht="11.1">
      <c r="A489" s="25"/>
      <c r="B489" s="25"/>
      <c r="C489" s="613" t="s">
        <v>1686</v>
      </c>
      <c r="K489" s="613" t="s">
        <v>1687</v>
      </c>
      <c r="L489" s="1440"/>
      <c r="R489" s="25"/>
    </row>
    <row r="490" spans="1:18" s="613" customFormat="1" ht="11.1">
      <c r="A490" s="25"/>
      <c r="B490" s="25"/>
      <c r="C490" s="613" t="s">
        <v>1688</v>
      </c>
      <c r="K490" s="613" t="s">
        <v>2717</v>
      </c>
      <c r="R490" s="25"/>
    </row>
    <row r="491" spans="1:18" s="613" customFormat="1" ht="11.1">
      <c r="A491" s="25"/>
      <c r="B491" s="25"/>
      <c r="C491" s="1440" t="s">
        <v>1689</v>
      </c>
      <c r="K491" s="613" t="s">
        <v>1690</v>
      </c>
      <c r="R491" s="25"/>
    </row>
    <row r="492" spans="1:18" s="613" customFormat="1" ht="11.1">
      <c r="A492" s="25"/>
      <c r="B492" s="25"/>
      <c r="R492" s="25"/>
    </row>
    <row r="493" spans="1:18" s="613" customFormat="1" ht="11.1">
      <c r="A493" s="25"/>
      <c r="B493" s="25"/>
      <c r="C493" s="1441" t="s">
        <v>1691</v>
      </c>
      <c r="K493" s="1441" t="s">
        <v>1692</v>
      </c>
      <c r="R493" s="25"/>
    </row>
    <row r="494" spans="1:18" s="613" customFormat="1" ht="11.1">
      <c r="A494" s="25"/>
      <c r="B494" s="25"/>
      <c r="C494" s="613" t="s">
        <v>1693</v>
      </c>
      <c r="K494" s="613" t="s">
        <v>1694</v>
      </c>
      <c r="R494" s="25"/>
    </row>
    <row r="495" spans="1:18" s="613" customFormat="1" ht="11.1">
      <c r="A495" s="25"/>
      <c r="B495" s="25"/>
      <c r="C495" s="613" t="s">
        <v>1695</v>
      </c>
      <c r="K495" s="613" t="s">
        <v>2718</v>
      </c>
      <c r="R495" s="25"/>
    </row>
    <row r="496" spans="1:18" s="613" customFormat="1" ht="11.1">
      <c r="A496" s="25"/>
      <c r="B496" s="25"/>
      <c r="C496" s="613" t="s">
        <v>1696</v>
      </c>
      <c r="K496" s="613" t="s">
        <v>2719</v>
      </c>
      <c r="R496" s="25"/>
    </row>
    <row r="497" spans="1:18" s="613" customFormat="1" ht="11.1">
      <c r="A497" s="25"/>
      <c r="B497" s="25"/>
      <c r="C497" s="613" t="s">
        <v>1698</v>
      </c>
      <c r="K497" s="613" t="s">
        <v>2720</v>
      </c>
      <c r="R497" s="25"/>
    </row>
    <row r="498" spans="1:18" s="613" customFormat="1" ht="11.1">
      <c r="A498" s="25"/>
      <c r="B498" s="25"/>
      <c r="C498" s="613" t="s">
        <v>1700</v>
      </c>
      <c r="K498" s="613" t="s">
        <v>2721</v>
      </c>
      <c r="R498" s="25"/>
    </row>
    <row r="499" spans="1:18" s="613" customFormat="1" ht="11.1">
      <c r="A499" s="25"/>
      <c r="B499" s="25"/>
      <c r="K499" s="1441" t="s">
        <v>1702</v>
      </c>
      <c r="R499" s="25"/>
    </row>
    <row r="500" spans="1:18" s="613" customFormat="1" ht="11.1">
      <c r="A500" s="25"/>
      <c r="B500" s="25"/>
      <c r="K500" s="613" t="s">
        <v>1703</v>
      </c>
      <c r="R500" s="25"/>
    </row>
    <row r="501" spans="1:18" s="613" customFormat="1" ht="11.1">
      <c r="A501" s="25"/>
      <c r="B501" s="25"/>
      <c r="K501" s="613" t="s">
        <v>1704</v>
      </c>
      <c r="R501" s="25"/>
    </row>
    <row r="502" spans="1:18" s="613" customFormat="1" ht="11.1">
      <c r="A502" s="25"/>
      <c r="B502" s="25"/>
      <c r="K502" s="613" t="s">
        <v>1705</v>
      </c>
      <c r="R502" s="25"/>
    </row>
    <row r="503" spans="1:18" s="613" customFormat="1" ht="11.1">
      <c r="A503" s="25"/>
      <c r="B503" s="25"/>
      <c r="K503" s="613" t="s">
        <v>1706</v>
      </c>
      <c r="R503" s="25"/>
    </row>
    <row r="504" spans="1:18" s="613" customFormat="1" ht="11.1">
      <c r="A504" s="25"/>
      <c r="B504" s="25"/>
      <c r="K504" s="613" t="s">
        <v>1707</v>
      </c>
      <c r="R504" s="25"/>
    </row>
    <row r="505" spans="1:18" s="613" customFormat="1" ht="11.1">
      <c r="A505" s="25"/>
      <c r="B505" s="25"/>
      <c r="R505" s="25"/>
    </row>
    <row r="506" spans="1:18" s="613" customFormat="1" ht="11.1">
      <c r="A506" s="25"/>
      <c r="B506" s="25"/>
      <c r="C506" s="1441" t="s">
        <v>1708</v>
      </c>
      <c r="M506" s="1441" t="s">
        <v>1709</v>
      </c>
      <c r="R506" s="25"/>
    </row>
    <row r="507" spans="1:18" s="613" customFormat="1" ht="11.1">
      <c r="A507" s="25"/>
      <c r="B507" s="25"/>
      <c r="C507" s="613" t="s">
        <v>1515</v>
      </c>
      <c r="M507" s="613" t="s">
        <v>1515</v>
      </c>
      <c r="R507" s="25"/>
    </row>
    <row r="508" spans="1:18" s="613" customFormat="1" ht="11.1">
      <c r="A508" s="25"/>
      <c r="B508" s="25"/>
      <c r="C508" s="613" t="s">
        <v>1710</v>
      </c>
      <c r="M508" s="613" t="s">
        <v>1711</v>
      </c>
      <c r="R508" s="25"/>
    </row>
    <row r="509" spans="1:18" s="613" customFormat="1" ht="11.1">
      <c r="A509" s="25"/>
      <c r="B509" s="25"/>
      <c r="C509" s="613" t="s">
        <v>1712</v>
      </c>
      <c r="M509" s="613" t="s">
        <v>1713</v>
      </c>
      <c r="R509" s="25"/>
    </row>
    <row r="510" spans="1:18" s="613" customFormat="1" ht="11.1">
      <c r="A510" s="25"/>
      <c r="B510" s="25"/>
      <c r="C510" s="613" t="s">
        <v>1714</v>
      </c>
      <c r="M510" s="613" t="s">
        <v>1510</v>
      </c>
      <c r="R510" s="25"/>
    </row>
    <row r="511" spans="1:18" s="613" customFormat="1" ht="11.1">
      <c r="A511" s="25"/>
      <c r="B511" s="25"/>
      <c r="C511" s="613" t="s">
        <v>1715</v>
      </c>
      <c r="M511" s="613" t="s">
        <v>1716</v>
      </c>
      <c r="R511" s="25"/>
    </row>
    <row r="512" spans="1:18" s="613" customFormat="1" ht="11.1">
      <c r="A512" s="25"/>
      <c r="B512" s="25"/>
      <c r="C512" s="613" t="s">
        <v>1717</v>
      </c>
      <c r="M512" s="613" t="s">
        <v>1718</v>
      </c>
      <c r="R512" s="25"/>
    </row>
    <row r="513" spans="1:18" s="613" customFormat="1" ht="11.1">
      <c r="A513" s="25"/>
      <c r="B513" s="25"/>
      <c r="C513" s="613" t="s">
        <v>1719</v>
      </c>
      <c r="M513" s="613" t="s">
        <v>1720</v>
      </c>
      <c r="R513" s="25"/>
    </row>
    <row r="514" spans="1:18" s="613" customFormat="1" ht="11.1">
      <c r="A514" s="25"/>
      <c r="B514" s="25"/>
      <c r="C514" s="613" t="s">
        <v>1721</v>
      </c>
      <c r="M514" s="613" t="s">
        <v>1513</v>
      </c>
      <c r="R514" s="25"/>
    </row>
    <row r="515" spans="1:18" s="613" customFormat="1" ht="11.1">
      <c r="A515" s="25"/>
      <c r="B515" s="25"/>
      <c r="M515" s="613" t="s">
        <v>1663</v>
      </c>
      <c r="R515" s="25"/>
    </row>
    <row r="516" spans="1:18" s="613" customFormat="1" ht="11.1">
      <c r="A516" s="25"/>
      <c r="B516" s="25"/>
      <c r="R516" s="25"/>
    </row>
    <row r="517" spans="1:18" s="613" customFormat="1" ht="11.1">
      <c r="A517" s="25"/>
      <c r="B517" s="25"/>
      <c r="R517" s="25"/>
    </row>
    <row r="518" spans="1:18" s="613" customFormat="1" ht="11.1">
      <c r="A518" s="25"/>
      <c r="B518" s="25"/>
      <c r="M518" s="1442" t="s">
        <v>2173</v>
      </c>
      <c r="R518" s="25"/>
    </row>
    <row r="519" spans="1:18" s="613" customFormat="1" ht="11.1">
      <c r="A519" s="25"/>
      <c r="B519" s="25"/>
      <c r="M519" s="613" t="s">
        <v>1723</v>
      </c>
      <c r="R519" s="25"/>
    </row>
    <row r="520" spans="1:18" s="613" customFormat="1" ht="11.1">
      <c r="A520" s="25"/>
      <c r="B520" s="25"/>
      <c r="M520" s="613" t="s">
        <v>2178</v>
      </c>
      <c r="R520" s="25"/>
    </row>
    <row r="521" spans="1:18" s="613" customFormat="1" ht="11.1">
      <c r="A521" s="25"/>
      <c r="B521" s="25"/>
      <c r="M521" s="613" t="s">
        <v>1533</v>
      </c>
      <c r="R521" s="25"/>
    </row>
    <row r="522" spans="1:18" s="613" customFormat="1" ht="11.1">
      <c r="A522" s="25"/>
      <c r="B522" s="25"/>
      <c r="M522" s="613" t="s">
        <v>2181</v>
      </c>
      <c r="R522" s="25"/>
    </row>
    <row r="523" spans="1:18" s="613" customFormat="1" ht="11.1">
      <c r="A523" s="25"/>
      <c r="B523" s="25"/>
      <c r="D523" s="1442" t="s">
        <v>1726</v>
      </c>
      <c r="M523" s="613" t="s">
        <v>1725</v>
      </c>
      <c r="R523" s="25"/>
    </row>
    <row r="524" spans="1:18" s="613" customFormat="1">
      <c r="A524" s="25"/>
      <c r="B524" s="25"/>
      <c r="J524" s="251"/>
      <c r="M524" s="613" t="s">
        <v>2184</v>
      </c>
      <c r="R524" s="25"/>
    </row>
    <row r="525" spans="1:18" s="251" customFormat="1">
      <c r="A525" s="77"/>
      <c r="B525" s="77"/>
      <c r="M525" s="613" t="s">
        <v>1727</v>
      </c>
      <c r="O525" s="613"/>
      <c r="R525" s="77"/>
    </row>
    <row r="526" spans="1:18" s="251" customFormat="1">
      <c r="A526" s="77"/>
      <c r="B526" s="77"/>
      <c r="M526" s="613" t="s">
        <v>2187</v>
      </c>
      <c r="R526" s="77"/>
    </row>
    <row r="527" spans="1:18" s="251" customFormat="1">
      <c r="A527" s="77"/>
      <c r="B527" s="77"/>
      <c r="M527" s="613" t="s">
        <v>1729</v>
      </c>
      <c r="R527" s="77"/>
    </row>
    <row r="528" spans="1:18" s="251" customFormat="1">
      <c r="A528" s="77"/>
      <c r="B528" s="77"/>
      <c r="M528" s="613" t="s">
        <v>2192</v>
      </c>
      <c r="R528" s="77"/>
    </row>
    <row r="529" spans="1:22" s="251" customFormat="1">
      <c r="A529" s="77"/>
      <c r="B529" s="77"/>
      <c r="M529" s="613" t="s">
        <v>2194</v>
      </c>
      <c r="R529" s="77"/>
    </row>
    <row r="530" spans="1:22" s="251" customFormat="1">
      <c r="A530" s="77"/>
      <c r="B530" s="77"/>
      <c r="M530" s="613" t="s">
        <v>2196</v>
      </c>
      <c r="R530" s="77"/>
    </row>
    <row r="531" spans="1:22" s="251" customFormat="1">
      <c r="A531" s="77"/>
      <c r="B531" s="77"/>
      <c r="M531" s="613" t="s">
        <v>2198</v>
      </c>
      <c r="R531" s="77"/>
    </row>
    <row r="532" spans="1:22" s="251" customFormat="1">
      <c r="A532" s="77"/>
      <c r="B532" s="77"/>
      <c r="M532" s="613" t="s">
        <v>2200</v>
      </c>
      <c r="R532" s="77"/>
    </row>
    <row r="533" spans="1:22" s="251" customFormat="1">
      <c r="A533" s="77"/>
      <c r="B533" s="77"/>
      <c r="M533" s="613" t="s">
        <v>2722</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ColWidth="8.85546875" defaultRowHeight="12.9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85" customHeight="1">
      <c r="A2" s="3785" t="s">
        <v>2723</v>
      </c>
      <c r="B2" s="3785"/>
      <c r="C2" s="98"/>
      <c r="D2" s="607">
        <v>2021</v>
      </c>
      <c r="E2" s="2511"/>
      <c r="F2" s="3779" t="s">
        <v>2724</v>
      </c>
      <c r="G2" s="3780"/>
      <c r="H2" s="3780"/>
      <c r="I2" s="3780"/>
      <c r="J2" s="3781"/>
      <c r="K2" s="2603"/>
      <c r="L2" s="324" t="s">
        <v>2725</v>
      </c>
      <c r="M2" s="2603"/>
      <c r="N2" s="3779" t="s">
        <v>2724</v>
      </c>
      <c r="O2" s="3780"/>
      <c r="P2" s="3780"/>
      <c r="Q2" s="3780"/>
      <c r="R2" s="3781"/>
      <c r="S2" s="150"/>
      <c r="T2" s="2511"/>
      <c r="U2" s="2511"/>
      <c r="V2" s="222"/>
      <c r="W2" s="222"/>
      <c r="X2" s="222"/>
      <c r="AA2" s="40"/>
      <c r="AB2" s="40"/>
    </row>
    <row r="3" spans="1:28" s="96" customFormat="1" ht="11.85" customHeight="1">
      <c r="A3" s="3785"/>
      <c r="B3" s="3785"/>
      <c r="D3" s="325" t="s">
        <v>2726</v>
      </c>
      <c r="E3" s="325" t="s">
        <v>2727</v>
      </c>
      <c r="F3" s="326">
        <v>0</v>
      </c>
      <c r="G3" s="2514">
        <v>1</v>
      </c>
      <c r="H3" s="625">
        <v>2</v>
      </c>
      <c r="I3" s="625">
        <v>3</v>
      </c>
      <c r="J3" s="327" t="s">
        <v>2728</v>
      </c>
      <c r="L3" s="325" t="s">
        <v>2726</v>
      </c>
      <c r="M3" s="325" t="s">
        <v>2727</v>
      </c>
      <c r="N3" s="326">
        <v>0</v>
      </c>
      <c r="O3" s="2514">
        <v>1</v>
      </c>
      <c r="P3" s="625">
        <v>2</v>
      </c>
      <c r="Q3" s="625">
        <v>3</v>
      </c>
      <c r="R3" s="327" t="s">
        <v>2728</v>
      </c>
      <c r="S3" s="150"/>
      <c r="T3" s="2511"/>
      <c r="U3" s="2511"/>
      <c r="V3" s="222"/>
      <c r="W3" s="222"/>
      <c r="X3" s="222"/>
      <c r="AA3" s="40"/>
      <c r="AB3" s="40"/>
    </row>
    <row r="4" spans="1:28" s="96" customFormat="1" ht="11.85" customHeight="1">
      <c r="A4" s="3785"/>
      <c r="B4" s="3785"/>
      <c r="D4" s="598" t="s">
        <v>2128</v>
      </c>
      <c r="E4" s="598" t="s">
        <v>2729</v>
      </c>
      <c r="F4" s="599">
        <v>142816</v>
      </c>
      <c r="G4" s="599">
        <v>184662</v>
      </c>
      <c r="H4" s="599">
        <v>220865</v>
      </c>
      <c r="I4" s="599">
        <v>263215</v>
      </c>
      <c r="J4" s="599">
        <v>310038</v>
      </c>
      <c r="L4" s="150" t="s">
        <v>2128</v>
      </c>
      <c r="M4" s="150" t="s">
        <v>2729</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85" customHeight="1">
      <c r="A5" s="98"/>
      <c r="D5" s="598" t="s">
        <v>2128</v>
      </c>
      <c r="E5" s="598" t="s">
        <v>1250</v>
      </c>
      <c r="F5" s="599">
        <v>111333</v>
      </c>
      <c r="G5" s="599">
        <v>155866</v>
      </c>
      <c r="H5" s="599">
        <v>200399</v>
      </c>
      <c r="I5" s="599">
        <v>267199</v>
      </c>
      <c r="J5" s="599">
        <v>333999</v>
      </c>
      <c r="L5" s="150" t="s">
        <v>2128</v>
      </c>
      <c r="M5" s="150" t="s">
        <v>1250</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85" customHeight="1">
      <c r="A6" s="98"/>
      <c r="D6" s="598" t="s">
        <v>2128</v>
      </c>
      <c r="E6" s="598" t="s">
        <v>1248</v>
      </c>
      <c r="F6" s="599">
        <v>123345</v>
      </c>
      <c r="G6" s="599">
        <v>160923</v>
      </c>
      <c r="H6" s="599">
        <v>194869</v>
      </c>
      <c r="I6" s="599">
        <v>237606</v>
      </c>
      <c r="J6" s="599">
        <v>281429</v>
      </c>
      <c r="L6" s="150" t="s">
        <v>2128</v>
      </c>
      <c r="M6" s="150" t="s">
        <v>1248</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85" customHeight="1">
      <c r="A7" s="98"/>
      <c r="D7" s="598" t="s">
        <v>2128</v>
      </c>
      <c r="E7" s="598" t="s">
        <v>1249</v>
      </c>
      <c r="F7" s="599">
        <v>110658</v>
      </c>
      <c r="G7" s="599">
        <v>150909</v>
      </c>
      <c r="H7" s="599">
        <v>191026</v>
      </c>
      <c r="I7" s="599">
        <v>251664</v>
      </c>
      <c r="J7" s="599">
        <v>311733</v>
      </c>
      <c r="L7" s="150" t="s">
        <v>2128</v>
      </c>
      <c r="M7" s="150" t="s">
        <v>1249</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85" customHeight="1">
      <c r="A8" s="98"/>
      <c r="D8" s="590" t="s">
        <v>2730</v>
      </c>
      <c r="E8" s="590" t="s">
        <v>2729</v>
      </c>
      <c r="F8" s="591">
        <v>141797</v>
      </c>
      <c r="G8" s="591">
        <v>183527</v>
      </c>
      <c r="H8" s="591">
        <v>219633</v>
      </c>
      <c r="I8" s="591">
        <v>261936</v>
      </c>
      <c r="J8" s="591">
        <v>308710</v>
      </c>
      <c r="L8" s="150" t="s">
        <v>2730</v>
      </c>
      <c r="M8" s="150" t="s">
        <v>2729</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85" customHeight="1">
      <c r="A9" s="98"/>
      <c r="D9" s="590" t="s">
        <v>2730</v>
      </c>
      <c r="E9" s="590" t="s">
        <v>1250</v>
      </c>
      <c r="F9" s="591">
        <v>110497</v>
      </c>
      <c r="G9" s="591">
        <v>154696</v>
      </c>
      <c r="H9" s="591">
        <v>198895</v>
      </c>
      <c r="I9" s="591">
        <v>265193</v>
      </c>
      <c r="J9" s="591">
        <v>331491</v>
      </c>
      <c r="L9" s="150" t="s">
        <v>2730</v>
      </c>
      <c r="M9" s="150" t="s">
        <v>1250</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85" customHeight="1">
      <c r="A10" s="98"/>
      <c r="D10" s="590" t="s">
        <v>2730</v>
      </c>
      <c r="E10" s="590" t="s">
        <v>1248</v>
      </c>
      <c r="F10" s="591">
        <v>121614</v>
      </c>
      <c r="G10" s="591">
        <v>158920</v>
      </c>
      <c r="H10" s="591">
        <v>192685</v>
      </c>
      <c r="I10" s="591">
        <v>235391</v>
      </c>
      <c r="J10" s="591">
        <v>279054</v>
      </c>
      <c r="L10" s="150" t="s">
        <v>2730</v>
      </c>
      <c r="M10" s="150" t="s">
        <v>1248</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85" customHeight="1">
      <c r="A11" s="98"/>
      <c r="D11" s="590" t="s">
        <v>2730</v>
      </c>
      <c r="E11" s="590" t="s">
        <v>1249</v>
      </c>
      <c r="F11" s="591">
        <v>108520</v>
      </c>
      <c r="G11" s="591">
        <v>147769</v>
      </c>
      <c r="H11" s="591">
        <v>186880</v>
      </c>
      <c r="I11" s="591">
        <v>246024</v>
      </c>
      <c r="J11" s="591">
        <v>304578</v>
      </c>
      <c r="L11" s="150" t="s">
        <v>2730</v>
      </c>
      <c r="M11" s="150" t="s">
        <v>1249</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85" customHeight="1">
      <c r="A12" s="98"/>
      <c r="D12" s="588" t="s">
        <v>2731</v>
      </c>
      <c r="E12" s="588" t="s">
        <v>2729</v>
      </c>
      <c r="F12" s="589">
        <v>155687</v>
      </c>
      <c r="G12" s="589">
        <v>201438</v>
      </c>
      <c r="H12" s="589">
        <v>241022</v>
      </c>
      <c r="I12" s="589">
        <v>287374</v>
      </c>
      <c r="J12" s="589">
        <v>338625</v>
      </c>
      <c r="L12" s="323" t="s">
        <v>2731</v>
      </c>
      <c r="M12" s="323" t="s">
        <v>2729</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85" customHeight="1">
      <c r="A13" s="98"/>
      <c r="D13" s="588" t="s">
        <v>2731</v>
      </c>
      <c r="E13" s="588" t="s">
        <v>1250</v>
      </c>
      <c r="F13" s="589">
        <v>121337</v>
      </c>
      <c r="G13" s="589">
        <v>169871</v>
      </c>
      <c r="H13" s="589">
        <v>218406</v>
      </c>
      <c r="I13" s="589">
        <v>291208</v>
      </c>
      <c r="J13" s="589">
        <v>364010</v>
      </c>
      <c r="L13" s="323" t="s">
        <v>2731</v>
      </c>
      <c r="M13" s="323" t="s">
        <v>1250</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85" customHeight="1">
      <c r="A14" s="98"/>
      <c r="D14" s="588" t="s">
        <v>2731</v>
      </c>
      <c r="E14" s="588" t="s">
        <v>1248</v>
      </c>
      <c r="F14" s="589">
        <v>133842</v>
      </c>
      <c r="G14" s="589">
        <v>174804</v>
      </c>
      <c r="H14" s="589">
        <v>211854</v>
      </c>
      <c r="I14" s="589">
        <v>258642</v>
      </c>
      <c r="J14" s="589">
        <v>306526</v>
      </c>
      <c r="L14" s="323" t="s">
        <v>2731</v>
      </c>
      <c r="M14" s="323" t="s">
        <v>1248</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85" customHeight="1">
      <c r="A15" s="98"/>
      <c r="D15" s="588" t="s">
        <v>2731</v>
      </c>
      <c r="E15" s="588" t="s">
        <v>1249</v>
      </c>
      <c r="F15" s="589">
        <v>119649</v>
      </c>
      <c r="G15" s="589">
        <v>163008</v>
      </c>
      <c r="H15" s="589">
        <v>206217</v>
      </c>
      <c r="I15" s="589">
        <v>271547</v>
      </c>
      <c r="J15" s="589">
        <v>336239</v>
      </c>
      <c r="L15" s="323" t="s">
        <v>2731</v>
      </c>
      <c r="M15" s="323" t="s">
        <v>1249</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85" customHeight="1">
      <c r="A16" s="98"/>
      <c r="D16" s="592" t="s">
        <v>2732</v>
      </c>
      <c r="E16" s="592" t="s">
        <v>2729</v>
      </c>
      <c r="F16" s="593">
        <v>145521</v>
      </c>
      <c r="G16" s="593">
        <v>188031</v>
      </c>
      <c r="H16" s="593">
        <v>224805</v>
      </c>
      <c r="I16" s="593">
        <v>267776</v>
      </c>
      <c r="J16" s="593">
        <v>315283</v>
      </c>
      <c r="L16" s="323" t="s">
        <v>2732</v>
      </c>
      <c r="M16" s="323" t="s">
        <v>2729</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85" customHeight="1">
      <c r="A17" s="98"/>
      <c r="D17" s="592" t="s">
        <v>2732</v>
      </c>
      <c r="E17" s="592" t="s">
        <v>1250</v>
      </c>
      <c r="F17" s="593">
        <v>113472</v>
      </c>
      <c r="G17" s="593">
        <v>158861</v>
      </c>
      <c r="H17" s="593">
        <v>204249</v>
      </c>
      <c r="I17" s="593">
        <v>272333</v>
      </c>
      <c r="J17" s="593">
        <v>340416</v>
      </c>
      <c r="L17" s="323" t="s">
        <v>2732</v>
      </c>
      <c r="M17" s="323" t="s">
        <v>1250</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85" customHeight="1">
      <c r="A18" s="98"/>
      <c r="D18" s="592" t="s">
        <v>2732</v>
      </c>
      <c r="E18" s="592" t="s">
        <v>1248</v>
      </c>
      <c r="F18" s="593">
        <v>126289</v>
      </c>
      <c r="G18" s="593">
        <v>164581</v>
      </c>
      <c r="H18" s="593">
        <v>199126</v>
      </c>
      <c r="I18" s="593">
        <v>242479</v>
      </c>
      <c r="J18" s="593">
        <v>287022</v>
      </c>
      <c r="L18" s="323" t="s">
        <v>2732</v>
      </c>
      <c r="M18" s="323" t="s">
        <v>1248</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85" customHeight="1">
      <c r="A19" s="98"/>
      <c r="D19" s="592" t="s">
        <v>2732</v>
      </c>
      <c r="E19" s="592" t="s">
        <v>1249</v>
      </c>
      <c r="F19" s="593">
        <v>113715</v>
      </c>
      <c r="G19" s="593">
        <v>155238</v>
      </c>
      <c r="H19" s="593">
        <v>196629</v>
      </c>
      <c r="I19" s="593">
        <v>259171</v>
      </c>
      <c r="J19" s="593">
        <v>321151</v>
      </c>
      <c r="L19" s="323" t="s">
        <v>2732</v>
      </c>
      <c r="M19" s="323" t="s">
        <v>1249</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85" customHeight="1">
      <c r="A20" s="98"/>
      <c r="D20" s="150" t="s">
        <v>2733</v>
      </c>
      <c r="E20" s="150" t="s">
        <v>2729</v>
      </c>
      <c r="F20" s="502">
        <v>151294</v>
      </c>
      <c r="G20" s="502">
        <v>195836</v>
      </c>
      <c r="H20" s="502">
        <v>234374</v>
      </c>
      <c r="I20" s="502">
        <v>279532</v>
      </c>
      <c r="J20" s="502">
        <v>329464</v>
      </c>
      <c r="L20" s="150" t="s">
        <v>2733</v>
      </c>
      <c r="M20" s="323" t="s">
        <v>2729</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85" customHeight="1">
      <c r="A21" s="98"/>
      <c r="D21" s="150" t="s">
        <v>2733</v>
      </c>
      <c r="E21" s="150" t="s">
        <v>1250</v>
      </c>
      <c r="F21" s="502">
        <v>117895</v>
      </c>
      <c r="G21" s="502">
        <v>165052</v>
      </c>
      <c r="H21" s="502">
        <v>212210</v>
      </c>
      <c r="I21" s="502">
        <v>282947</v>
      </c>
      <c r="J21" s="502">
        <v>353684</v>
      </c>
      <c r="L21" s="150" t="s">
        <v>2733</v>
      </c>
      <c r="M21" s="323" t="s">
        <v>1250</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85" customHeight="1">
      <c r="A22" s="98"/>
      <c r="D22" s="150" t="s">
        <v>2733</v>
      </c>
      <c r="E22" s="150" t="s">
        <v>1248</v>
      </c>
      <c r="F22" s="502">
        <v>129687</v>
      </c>
      <c r="G22" s="502">
        <v>169491</v>
      </c>
      <c r="H22" s="502">
        <v>205524</v>
      </c>
      <c r="I22" s="502">
        <v>251113</v>
      </c>
      <c r="J22" s="502">
        <v>297714</v>
      </c>
      <c r="L22" s="150" t="s">
        <v>2733</v>
      </c>
      <c r="M22" s="323" t="s">
        <v>1248</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85" customHeight="1">
      <c r="A23" s="98"/>
      <c r="D23" s="150" t="s">
        <v>2733</v>
      </c>
      <c r="E23" s="150" t="s">
        <v>1249</v>
      </c>
      <c r="F23" s="502">
        <v>115673</v>
      </c>
      <c r="G23" s="502">
        <v>157490</v>
      </c>
      <c r="H23" s="502">
        <v>199159</v>
      </c>
      <c r="I23" s="502">
        <v>262174</v>
      </c>
      <c r="J23" s="502">
        <v>324557</v>
      </c>
      <c r="L23" s="150" t="s">
        <v>2733</v>
      </c>
      <c r="M23" s="323" t="s">
        <v>1249</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85" customHeight="1">
      <c r="A24" s="98"/>
      <c r="D24" s="594" t="s">
        <v>2734</v>
      </c>
      <c r="E24" s="594" t="s">
        <v>2729</v>
      </c>
      <c r="F24" s="595">
        <v>142816</v>
      </c>
      <c r="G24" s="595">
        <v>184662</v>
      </c>
      <c r="H24" s="595">
        <v>220865</v>
      </c>
      <c r="I24" s="595">
        <v>263215</v>
      </c>
      <c r="J24" s="595">
        <v>310038</v>
      </c>
      <c r="L24" s="150" t="s">
        <v>2734</v>
      </c>
      <c r="M24" s="150" t="s">
        <v>2729</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85" customHeight="1">
      <c r="A25" s="98"/>
      <c r="D25" s="594" t="s">
        <v>2734</v>
      </c>
      <c r="E25" s="594" t="s">
        <v>1250</v>
      </c>
      <c r="F25" s="595">
        <v>111333</v>
      </c>
      <c r="G25" s="595">
        <v>155866</v>
      </c>
      <c r="H25" s="595">
        <v>200399</v>
      </c>
      <c r="I25" s="595">
        <v>267199</v>
      </c>
      <c r="J25" s="595">
        <v>333999</v>
      </c>
      <c r="L25" s="150" t="s">
        <v>2734</v>
      </c>
      <c r="M25" s="150" t="s">
        <v>1250</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85" customHeight="1">
      <c r="A26" s="98"/>
      <c r="D26" s="594" t="s">
        <v>2734</v>
      </c>
      <c r="E26" s="594" t="s">
        <v>1248</v>
      </c>
      <c r="F26" s="595">
        <v>123345</v>
      </c>
      <c r="G26" s="595">
        <v>160923</v>
      </c>
      <c r="H26" s="595">
        <v>194869</v>
      </c>
      <c r="I26" s="595">
        <v>237606</v>
      </c>
      <c r="J26" s="595">
        <v>281429</v>
      </c>
      <c r="L26" s="150" t="s">
        <v>2734</v>
      </c>
      <c r="M26" s="150" t="s">
        <v>1248</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85" customHeight="1">
      <c r="A27" s="98"/>
      <c r="D27" s="594" t="s">
        <v>2734</v>
      </c>
      <c r="E27" s="594" t="s">
        <v>1249</v>
      </c>
      <c r="F27" s="595">
        <v>110658</v>
      </c>
      <c r="G27" s="595">
        <v>150909</v>
      </c>
      <c r="H27" s="595">
        <v>191026</v>
      </c>
      <c r="I27" s="595">
        <v>251664</v>
      </c>
      <c r="J27" s="595">
        <v>311733</v>
      </c>
      <c r="L27" s="150" t="s">
        <v>2734</v>
      </c>
      <c r="M27" s="150" t="s">
        <v>1249</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85" customHeight="1">
      <c r="A28" s="98"/>
      <c r="D28" s="596" t="s">
        <v>2735</v>
      </c>
      <c r="E28" s="596" t="s">
        <v>2729</v>
      </c>
      <c r="F28" s="597">
        <v>145346</v>
      </c>
      <c r="G28" s="597">
        <v>188013</v>
      </c>
      <c r="H28" s="597">
        <v>224927</v>
      </c>
      <c r="I28" s="597">
        <v>268137</v>
      </c>
      <c r="J28" s="597">
        <v>315913</v>
      </c>
      <c r="L28" s="323" t="s">
        <v>2735</v>
      </c>
      <c r="M28" s="323" t="s">
        <v>2729</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85" customHeight="1">
      <c r="A29" s="98"/>
      <c r="D29" s="596" t="s">
        <v>2735</v>
      </c>
      <c r="E29" s="596" t="s">
        <v>1250</v>
      </c>
      <c r="F29" s="597">
        <v>113288</v>
      </c>
      <c r="G29" s="597">
        <v>158603</v>
      </c>
      <c r="H29" s="597">
        <v>203918</v>
      </c>
      <c r="I29" s="597">
        <v>271890</v>
      </c>
      <c r="J29" s="597">
        <v>339863</v>
      </c>
      <c r="L29" s="323" t="s">
        <v>2735</v>
      </c>
      <c r="M29" s="323" t="s">
        <v>1250</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85" customHeight="1">
      <c r="A30" s="98"/>
      <c r="D30" s="596" t="s">
        <v>2735</v>
      </c>
      <c r="E30" s="596" t="s">
        <v>1248</v>
      </c>
      <c r="F30" s="597">
        <v>125163</v>
      </c>
      <c r="G30" s="597">
        <v>163405</v>
      </c>
      <c r="H30" s="597">
        <v>197979</v>
      </c>
      <c r="I30" s="597">
        <v>241592</v>
      </c>
      <c r="J30" s="597">
        <v>286257</v>
      </c>
      <c r="L30" s="323" t="s">
        <v>2735</v>
      </c>
      <c r="M30" s="323" t="s">
        <v>1248</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85" customHeight="1">
      <c r="A31" s="98"/>
      <c r="D31" s="596" t="s">
        <v>2735</v>
      </c>
      <c r="E31" s="596" t="s">
        <v>1249</v>
      </c>
      <c r="F31" s="597">
        <v>112036</v>
      </c>
      <c r="G31" s="597">
        <v>152693</v>
      </c>
      <c r="H31" s="597">
        <v>193210</v>
      </c>
      <c r="I31" s="597">
        <v>254464</v>
      </c>
      <c r="J31" s="597">
        <v>315128</v>
      </c>
      <c r="L31" s="323" t="s">
        <v>2735</v>
      </c>
      <c r="M31" s="323" t="s">
        <v>1249</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85" customHeight="1">
      <c r="A32" s="98"/>
      <c r="D32" s="588" t="s">
        <v>2736</v>
      </c>
      <c r="E32" s="588" t="s">
        <v>2729</v>
      </c>
      <c r="F32" s="589">
        <v>148008</v>
      </c>
      <c r="G32" s="589">
        <v>191377</v>
      </c>
      <c r="H32" s="589">
        <v>228898</v>
      </c>
      <c r="I32" s="589">
        <v>272788</v>
      </c>
      <c r="J32" s="589">
        <v>321315</v>
      </c>
      <c r="L32" s="323" t="s">
        <v>2736</v>
      </c>
      <c r="M32" s="323" t="s">
        <v>2729</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85" customHeight="1">
      <c r="A33" s="98"/>
      <c r="D33" s="588" t="s">
        <v>2736</v>
      </c>
      <c r="E33" s="588" t="s">
        <v>1250</v>
      </c>
      <c r="F33" s="589">
        <v>115381</v>
      </c>
      <c r="G33" s="589">
        <v>161533</v>
      </c>
      <c r="H33" s="589">
        <v>207685</v>
      </c>
      <c r="I33" s="589">
        <v>276913</v>
      </c>
      <c r="J33" s="589">
        <v>346142</v>
      </c>
      <c r="L33" s="323" t="s">
        <v>2736</v>
      </c>
      <c r="M33" s="323" t="s">
        <v>1250</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85" customHeight="1">
      <c r="A34" s="98"/>
      <c r="D34" s="588" t="s">
        <v>2736</v>
      </c>
      <c r="E34" s="588" t="s">
        <v>1248</v>
      </c>
      <c r="F34" s="589">
        <v>127825</v>
      </c>
      <c r="G34" s="589">
        <v>166769</v>
      </c>
      <c r="H34" s="589">
        <v>201950</v>
      </c>
      <c r="I34" s="589">
        <v>246243</v>
      </c>
      <c r="J34" s="589">
        <v>291659</v>
      </c>
      <c r="L34" s="323" t="s">
        <v>2736</v>
      </c>
      <c r="M34" s="323" t="s">
        <v>1248</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85" customHeight="1">
      <c r="A35" s="98"/>
      <c r="D35" s="588" t="s">
        <v>2736</v>
      </c>
      <c r="E35" s="588" t="s">
        <v>1249</v>
      </c>
      <c r="F35" s="589">
        <v>114674</v>
      </c>
      <c r="G35" s="589">
        <v>156385</v>
      </c>
      <c r="H35" s="589">
        <v>197957</v>
      </c>
      <c r="I35" s="589">
        <v>260794</v>
      </c>
      <c r="J35" s="589">
        <v>323041</v>
      </c>
      <c r="L35" s="323" t="s">
        <v>2736</v>
      </c>
      <c r="M35" s="323" t="s">
        <v>1249</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85" customHeight="1">
      <c r="A36" s="98"/>
      <c r="D36" s="592" t="s">
        <v>2214</v>
      </c>
      <c r="E36" s="592" t="s">
        <v>2729</v>
      </c>
      <c r="F36" s="593">
        <v>135717</v>
      </c>
      <c r="G36" s="593">
        <v>175691</v>
      </c>
      <c r="H36" s="593">
        <v>210278</v>
      </c>
      <c r="I36" s="593">
        <v>250813</v>
      </c>
      <c r="J36" s="593">
        <v>295633</v>
      </c>
      <c r="L36" s="323" t="s">
        <v>2214</v>
      </c>
      <c r="M36" s="323" t="s">
        <v>2729</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85" customHeight="1">
      <c r="A37" s="98"/>
      <c r="D37" s="592" t="s">
        <v>2214</v>
      </c>
      <c r="E37" s="592" t="s">
        <v>1250</v>
      </c>
      <c r="F37" s="593">
        <v>105752</v>
      </c>
      <c r="G37" s="593">
        <v>148052</v>
      </c>
      <c r="H37" s="593">
        <v>190353</v>
      </c>
      <c r="I37" s="593">
        <v>253804</v>
      </c>
      <c r="J37" s="593">
        <v>317255</v>
      </c>
      <c r="L37" s="323" t="s">
        <v>2214</v>
      </c>
      <c r="M37" s="323" t="s">
        <v>1250</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85" customHeight="1">
      <c r="A38" s="98"/>
      <c r="D38" s="592" t="s">
        <v>2214</v>
      </c>
      <c r="E38" s="592" t="s">
        <v>1248</v>
      </c>
      <c r="F38" s="593">
        <v>116246</v>
      </c>
      <c r="G38" s="593">
        <v>151952</v>
      </c>
      <c r="H38" s="593">
        <v>184281</v>
      </c>
      <c r="I38" s="593">
        <v>225204</v>
      </c>
      <c r="J38" s="593">
        <v>267023</v>
      </c>
      <c r="L38" s="323" t="s">
        <v>2214</v>
      </c>
      <c r="M38" s="323" t="s">
        <v>1248</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85" customHeight="1">
      <c r="A39" s="98"/>
      <c r="D39" s="592" t="s">
        <v>2214</v>
      </c>
      <c r="E39" s="592" t="s">
        <v>1249</v>
      </c>
      <c r="F39" s="593">
        <v>103624</v>
      </c>
      <c r="G39" s="593">
        <v>141062</v>
      </c>
      <c r="H39" s="593">
        <v>178366</v>
      </c>
      <c r="I39" s="593">
        <v>234784</v>
      </c>
      <c r="J39" s="593">
        <v>290632</v>
      </c>
      <c r="L39" s="323" t="s">
        <v>2214</v>
      </c>
      <c r="M39" s="323" t="s">
        <v>1249</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2737</v>
      </c>
      <c r="B42" s="1367"/>
      <c r="C42" s="1367"/>
    </row>
    <row r="44" spans="1:295" s="12" customFormat="1" ht="12.75" customHeight="1">
      <c r="A44" s="2540" t="s">
        <v>25</v>
      </c>
      <c r="B44" s="3" t="s">
        <v>2738</v>
      </c>
      <c r="C44" s="3"/>
      <c r="D44" s="3"/>
      <c r="E44" s="2574"/>
      <c r="F44" s="77"/>
      <c r="G44" s="354"/>
      <c r="H44" s="354"/>
      <c r="I44" s="354"/>
      <c r="J44" s="43"/>
      <c r="K44" s="77"/>
      <c r="L44" s="355"/>
      <c r="M44" s="355"/>
      <c r="N44" s="355"/>
      <c r="O44" s="66" t="s">
        <v>1434</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2739</v>
      </c>
      <c r="H45" s="3808"/>
      <c r="I45" s="38"/>
      <c r="J45" s="43"/>
      <c r="K45" s="3809" t="s">
        <v>2740</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2741</v>
      </c>
      <c r="H46" s="3813"/>
      <c r="I46" s="38"/>
      <c r="J46" s="43"/>
      <c r="K46" s="3788" t="s">
        <v>2742</v>
      </c>
      <c r="L46" s="3789"/>
      <c r="M46" s="3789"/>
      <c r="N46" s="3790"/>
      <c r="O46" s="77"/>
      <c r="P46" s="297" t="s">
        <v>2743</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2744</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1311</v>
      </c>
      <c r="E48" s="77"/>
      <c r="F48" s="358" t="s">
        <v>2745</v>
      </c>
      <c r="G48" s="3783" t="s">
        <v>2746</v>
      </c>
      <c r="H48" s="3783"/>
      <c r="I48" s="3783"/>
      <c r="J48" s="77"/>
      <c r="K48" s="358" t="s">
        <v>2745</v>
      </c>
      <c r="L48" s="3783" t="s">
        <v>2747</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2729</v>
      </c>
      <c r="B49" s="3787"/>
      <c r="C49" s="3787"/>
      <c r="D49" s="499" t="s">
        <v>784</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827</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828</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829</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6" t="s">
        <v>2748</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830</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2749</v>
      </c>
      <c r="E54" s="229"/>
      <c r="F54" s="654" t="e">
        <f>SUM(F49:F53)</f>
        <v>#REF!</v>
      </c>
      <c r="G54" s="359"/>
      <c r="H54" s="655"/>
      <c r="I54" s="656" t="e">
        <f>SUM(I49:I53)</f>
        <v>#REF!</v>
      </c>
      <c r="J54" s="657"/>
      <c r="K54" s="654" t="e">
        <f>SUM(K49:K53)</f>
        <v>#REF!</v>
      </c>
      <c r="L54" s="657"/>
      <c r="M54" s="655"/>
      <c r="N54" s="656" t="e">
        <f>SUM(N49:N53)</f>
        <v>#REF!</v>
      </c>
      <c r="O54" s="2574"/>
      <c r="P54" s="3756" t="s">
        <v>2750</v>
      </c>
      <c r="Q54" s="3756"/>
      <c r="R54" s="3782" t="s">
        <v>2751</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1248</v>
      </c>
      <c r="B56" s="3787"/>
      <c r="C56" s="3787"/>
      <c r="D56" s="499" t="s">
        <v>784</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827</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2752</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828</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7"/>
      <c r="R58" s="225"/>
      <c r="S58" s="3765" t="s">
        <v>2753</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829</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830</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2754</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2749</v>
      </c>
      <c r="E61" s="229"/>
      <c r="F61" s="654" t="e">
        <f>SUM(F56:F60)</f>
        <v>#REF!</v>
      </c>
      <c r="G61" s="359"/>
      <c r="H61" s="655"/>
      <c r="I61" s="656" t="e">
        <f>SUM(I56:I60)</f>
        <v>#REF!</v>
      </c>
      <c r="J61" s="657"/>
      <c r="K61" s="654" t="e">
        <f>SUM(K56:K60)</f>
        <v>#REF!</v>
      </c>
      <c r="L61" s="657"/>
      <c r="M61" s="655"/>
      <c r="N61" s="656" t="e">
        <f>SUM(N56:N60)</f>
        <v>#REF!</v>
      </c>
      <c r="O61" s="322"/>
      <c r="P61" s="660" t="s">
        <v>1745</v>
      </c>
      <c r="Q61" s="660" t="s">
        <v>774</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1249</v>
      </c>
      <c r="B63" s="330"/>
      <c r="C63" s="43"/>
      <c r="D63" s="499" t="s">
        <v>784</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827</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2755</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828</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1745</v>
      </c>
      <c r="Q65" s="660" t="s">
        <v>774</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829</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830</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2756</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2749</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1250</v>
      </c>
      <c r="B70" s="77"/>
      <c r="C70" s="43"/>
      <c r="D70" s="499" t="s">
        <v>784</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827</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828</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829</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2757</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830</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2749</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3"/>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2758</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1440</v>
      </c>
      <c r="C78" s="77"/>
      <c r="D78" s="44"/>
      <c r="E78" s="44"/>
      <c r="F78" s="44"/>
      <c r="G78" s="44"/>
      <c r="H78" s="16"/>
      <c r="I78" s="2585"/>
      <c r="J78" s="2585"/>
      <c r="K78" s="70" t="s">
        <v>1437</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2400</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95"/>
  <cols>
    <col min="1" max="1" width="6" customWidth="1"/>
    <col min="2" max="2" width="3.42578125" customWidth="1"/>
    <col min="3" max="3" width="10.42578125" customWidth="1"/>
    <col min="4" max="4" width="10.28515625" customWidth="1"/>
    <col min="5" max="5" width="6.28515625" customWidth="1"/>
    <col min="6" max="6" width="9.28515625" customWidth="1"/>
    <col min="7" max="9" width="11.42578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25"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5" t="s">
        <v>2759</v>
      </c>
      <c r="R1" s="3815"/>
      <c r="S1" s="3815"/>
      <c r="T1" s="3815"/>
      <c r="U1" s="3815"/>
      <c r="V1" s="3815"/>
      <c r="W1" s="1525"/>
      <c r="X1" s="1488"/>
      <c r="Y1" s="77"/>
    </row>
    <row r="2" spans="1:25" s="12" customFormat="1" ht="4.5" customHeight="1">
      <c r="A2" s="13"/>
      <c r="B2" s="13"/>
      <c r="C2" s="14"/>
      <c r="D2" s="13"/>
      <c r="E2" s="13"/>
      <c r="F2" s="13"/>
      <c r="G2" s="13"/>
      <c r="H2" s="13"/>
      <c r="I2" s="13"/>
      <c r="J2" s="13"/>
      <c r="K2" s="13"/>
      <c r="L2" s="13"/>
      <c r="M2" s="2585"/>
      <c r="N2" s="32"/>
      <c r="O2" s="2538"/>
      <c r="P2" s="2538"/>
      <c r="Q2" s="3815"/>
      <c r="R2" s="3815"/>
      <c r="S2" s="3815"/>
      <c r="T2" s="3815"/>
      <c r="U2" s="3815"/>
      <c r="V2" s="3815"/>
      <c r="W2" s="1525"/>
      <c r="X2" s="1488"/>
      <c r="Y2" s="77"/>
    </row>
    <row r="3" spans="1:25" s="18" customFormat="1" ht="12" customHeight="1">
      <c r="A3" s="3863" t="s">
        <v>2760</v>
      </c>
      <c r="B3" s="3863"/>
      <c r="C3" s="3863"/>
      <c r="D3" s="3863"/>
      <c r="E3" s="3863"/>
      <c r="F3" s="3863"/>
      <c r="G3" s="3863"/>
      <c r="H3" s="3863"/>
      <c r="I3" s="3863"/>
      <c r="J3" s="3863"/>
      <c r="K3" s="3863"/>
      <c r="L3" s="3863"/>
      <c r="M3" s="510"/>
      <c r="N3" s="32"/>
      <c r="O3" s="4659" t="s">
        <v>1736</v>
      </c>
      <c r="P3" s="4660" t="s">
        <v>774</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1737</v>
      </c>
      <c r="P4" s="100" t="s">
        <v>1737</v>
      </c>
      <c r="Q4" s="3815"/>
      <c r="R4" s="3815"/>
      <c r="S4" s="3815"/>
      <c r="T4" s="3815"/>
      <c r="U4" s="3815"/>
      <c r="V4" s="3815"/>
    </row>
    <row r="5" spans="1:25" s="20" customFormat="1" ht="3" customHeight="1" thickBot="1">
      <c r="A5" s="43"/>
      <c r="B5" s="43"/>
      <c r="C5" s="43"/>
      <c r="D5" s="43"/>
      <c r="E5" s="43"/>
      <c r="F5" s="43"/>
      <c r="G5" s="43"/>
      <c r="H5" s="43"/>
      <c r="I5" s="43"/>
      <c r="J5" s="43"/>
      <c r="K5" s="43"/>
      <c r="M5" s="2525"/>
      <c r="N5" s="3"/>
      <c r="O5" s="2538"/>
      <c r="P5" s="2533"/>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1738</v>
      </c>
      <c r="M6" s="2"/>
      <c r="N6" s="4517"/>
      <c r="O6" s="1196" t="e">
        <f>O442</f>
        <v>#REF!</v>
      </c>
      <c r="P6" s="1196" t="e">
        <f>P442</f>
        <v>#REF!</v>
      </c>
      <c r="Q6" s="1137" t="s">
        <v>2761</v>
      </c>
      <c r="R6" s="1522"/>
      <c r="S6" s="1522"/>
      <c r="T6" s="1522"/>
      <c r="U6" s="1522"/>
      <c r="V6" s="1522"/>
      <c r="W6" s="1522"/>
      <c r="X6" s="1522"/>
      <c r="Y6" s="1522"/>
    </row>
    <row r="7" spans="1:25" s="19" customFormat="1" ht="3.75"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2762</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2763</v>
      </c>
      <c r="B10" s="43"/>
      <c r="C10" s="43"/>
      <c r="D10" s="13"/>
      <c r="E10" s="13"/>
      <c r="F10" s="13"/>
      <c r="G10" s="23"/>
      <c r="H10" s="98" t="s">
        <v>2764</v>
      </c>
      <c r="I10" s="23"/>
      <c r="J10" s="23"/>
      <c r="K10" s="23"/>
      <c r="L10" s="23"/>
      <c r="M10" s="861" t="s">
        <v>2765</v>
      </c>
      <c r="N10" s="23"/>
      <c r="O10" s="23"/>
      <c r="P10" s="670">
        <f>IF(P12&lt;2,0,IF(AND(P12&gt;1,P12&lt;5),1,IF(P12&gt;4,P12-3)))</f>
        <v>0</v>
      </c>
      <c r="Q10" s="1522"/>
      <c r="R10" s="1522"/>
      <c r="S10" s="1522"/>
      <c r="T10" s="1522"/>
      <c r="U10" s="1522"/>
      <c r="V10" s="1522"/>
      <c r="W10" s="1522"/>
      <c r="X10" s="1522"/>
      <c r="Y10" s="1522"/>
    </row>
    <row r="11" spans="1:25" s="19" customFormat="1" ht="3.75"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2766</v>
      </c>
      <c r="B12" s="880" t="s">
        <v>2767</v>
      </c>
      <c r="C12" s="699"/>
      <c r="D12" s="699"/>
      <c r="E12" s="146" t="s">
        <v>2768</v>
      </c>
      <c r="F12" s="3945" t="s">
        <v>2769</v>
      </c>
      <c r="G12" s="3945"/>
      <c r="H12" s="3945"/>
      <c r="I12" s="3945"/>
      <c r="J12" s="3945"/>
      <c r="K12" s="3945"/>
      <c r="L12" s="3945"/>
      <c r="M12" s="3945"/>
      <c r="N12" s="3945"/>
      <c r="O12" s="881" t="s">
        <v>2770</v>
      </c>
      <c r="P12" s="882">
        <f>SUM(P13:P31)</f>
        <v>0</v>
      </c>
      <c r="Q12" s="3814" t="s">
        <v>2771</v>
      </c>
      <c r="R12" s="3814"/>
      <c r="S12" s="3814"/>
      <c r="T12" s="3814"/>
      <c r="U12" s="3814"/>
      <c r="V12" s="859"/>
      <c r="W12" s="43"/>
      <c r="X12" s="43"/>
      <c r="Y12" s="43"/>
    </row>
    <row r="13" spans="1:25" s="18" customFormat="1" ht="10.5" customHeight="1">
      <c r="A13" s="687" t="s">
        <v>70</v>
      </c>
      <c r="B13" s="4661" t="s">
        <v>2051</v>
      </c>
      <c r="C13" s="4662"/>
      <c r="D13" s="686"/>
      <c r="E13" s="875">
        <f>$O$103</f>
        <v>0</v>
      </c>
      <c r="F13" s="3946">
        <f>$A$109</f>
        <v>0</v>
      </c>
      <c r="G13" s="4663"/>
      <c r="H13" s="4663"/>
      <c r="I13" s="4663"/>
      <c r="J13" s="4663"/>
      <c r="K13" s="4663"/>
      <c r="L13" s="4663"/>
      <c r="M13" s="4663"/>
      <c r="N13" s="4663"/>
      <c r="O13" s="4663"/>
      <c r="P13" s="887"/>
      <c r="Q13" s="3814"/>
      <c r="R13" s="3814"/>
      <c r="S13" s="3814"/>
      <c r="T13" s="3814"/>
      <c r="U13" s="3814"/>
      <c r="V13" s="859"/>
      <c r="W13" s="43"/>
      <c r="X13" s="43"/>
      <c r="Y13" s="43"/>
    </row>
    <row r="14" spans="1:25" s="18" customFormat="1" ht="10.5" customHeight="1">
      <c r="A14" s="687" t="s">
        <v>79</v>
      </c>
      <c r="B14" s="569" t="s">
        <v>2052</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81</v>
      </c>
      <c r="B15" s="569" t="s">
        <v>2053</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1475</v>
      </c>
      <c r="B16" s="569" t="s">
        <v>2004</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1478</v>
      </c>
      <c r="B17" s="694" t="s">
        <v>1940</v>
      </c>
      <c r="C17" s="695"/>
      <c r="D17" s="696"/>
      <c r="E17" s="878" t="s">
        <v>2133</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1481</v>
      </c>
      <c r="B18" s="569" t="s">
        <v>1750</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2772</v>
      </c>
      <c r="B19" s="569" t="s">
        <v>2056</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2773</v>
      </c>
      <c r="B20" s="569" t="s">
        <v>2774</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2775</v>
      </c>
      <c r="B21" s="694" t="s">
        <v>2145</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2776</v>
      </c>
      <c r="B22" s="569" t="s">
        <v>2777</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2778</v>
      </c>
      <c r="B23" s="569" t="s">
        <v>2779</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1566</v>
      </c>
      <c r="B24" s="1450" t="s">
        <v>2162</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1590</v>
      </c>
      <c r="B25" s="569" t="s">
        <v>2166</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1595</v>
      </c>
      <c r="B26" s="569" t="s">
        <v>2099</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1601</v>
      </c>
      <c r="B27" s="569" t="s">
        <v>2158</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1613</v>
      </c>
      <c r="B28" s="690" t="s">
        <v>2780</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1620</v>
      </c>
      <c r="B29" s="569" t="s">
        <v>2042</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1629</v>
      </c>
      <c r="B30" s="569" t="s">
        <v>2781</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2" t="s">
        <v>2087</v>
      </c>
      <c r="AB30" s="3092"/>
      <c r="AC30" s="3092"/>
      <c r="AD30" s="3092"/>
      <c r="AE30" s="3092"/>
      <c r="AF30" s="3092"/>
      <c r="AG30" s="43"/>
      <c r="AH30" s="43"/>
      <c r="AI30" s="43"/>
    </row>
    <row r="31" spans="1:35" s="18" customFormat="1" ht="10.5" customHeight="1">
      <c r="A31" s="689" t="s">
        <v>2782</v>
      </c>
      <c r="B31" s="690" t="s">
        <v>2783</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2" t="s">
        <v>2088</v>
      </c>
      <c r="Y31" s="3092"/>
      <c r="Z31" s="3092"/>
      <c r="AA31" s="3092"/>
      <c r="AB31" s="3092"/>
      <c r="AC31" s="3092"/>
      <c r="AD31" s="3092" t="s">
        <v>2089</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1740</v>
      </c>
      <c r="C33" s="42"/>
      <c r="D33" s="40"/>
      <c r="E33" s="40"/>
      <c r="F33" s="40"/>
      <c r="G33" s="3897" t="s">
        <v>2784</v>
      </c>
      <c r="H33" s="3897"/>
      <c r="I33" s="3891" t="s">
        <v>2090</v>
      </c>
      <c r="J33" s="3892"/>
      <c r="K33" s="3892"/>
      <c r="L33" s="3893"/>
      <c r="M33" s="3948" t="s">
        <v>2091</v>
      </c>
      <c r="N33" s="3948"/>
      <c r="O33" s="3948"/>
      <c r="P33" s="3948"/>
      <c r="Q33" s="318"/>
      <c r="R33" s="318"/>
      <c r="S33" s="50" t="s">
        <v>1740</v>
      </c>
      <c r="T33" s="318"/>
      <c r="U33" s="318"/>
      <c r="V33" s="318"/>
      <c r="X33" s="3877" t="s">
        <v>2784</v>
      </c>
      <c r="Y33" s="3879"/>
      <c r="Z33" s="3877" t="s">
        <v>2090</v>
      </c>
      <c r="AA33" s="3878"/>
      <c r="AB33" s="3878"/>
      <c r="AC33" s="3879"/>
      <c r="AD33" s="3886" t="s">
        <v>2784</v>
      </c>
      <c r="AE33" s="3887"/>
      <c r="AF33" s="3888" t="s">
        <v>2090</v>
      </c>
      <c r="AG33" s="3886"/>
      <c r="AH33" s="3886"/>
      <c r="AI33" s="3887"/>
    </row>
    <row r="34" spans="1:46" s="77" customFormat="1" ht="11.25" customHeight="1">
      <c r="A34" s="25"/>
      <c r="B34" s="13"/>
      <c r="C34" s="25"/>
      <c r="D34" s="25"/>
      <c r="E34" s="25"/>
      <c r="F34" s="25"/>
      <c r="G34" s="1298">
        <v>0.09</v>
      </c>
      <c r="H34" s="1298">
        <v>0.04</v>
      </c>
      <c r="I34" s="1298">
        <v>0.04</v>
      </c>
      <c r="J34" s="1298" t="s">
        <v>2785</v>
      </c>
      <c r="K34" s="1298" t="s">
        <v>2786</v>
      </c>
      <c r="L34" s="1298" t="s">
        <v>2787</v>
      </c>
      <c r="M34" s="3880" t="e">
        <f>#REF!</f>
        <v>#REF!</v>
      </c>
      <c r="N34" s="3881"/>
      <c r="O34" s="3881"/>
      <c r="P34" s="3882"/>
      <c r="Q34" s="318"/>
      <c r="R34" s="25"/>
      <c r="S34" s="13"/>
      <c r="T34" s="25"/>
      <c r="U34" s="25"/>
      <c r="V34" s="25"/>
      <c r="W34" s="25"/>
      <c r="X34" s="1298">
        <v>0.09</v>
      </c>
      <c r="Y34" s="1298">
        <v>0.04</v>
      </c>
      <c r="Z34" s="1298">
        <v>0.04</v>
      </c>
      <c r="AA34" s="1298" t="s">
        <v>2785</v>
      </c>
      <c r="AB34" s="1298" t="s">
        <v>2786</v>
      </c>
      <c r="AC34" s="1298" t="s">
        <v>2787</v>
      </c>
      <c r="AD34" s="1298">
        <v>0.09</v>
      </c>
      <c r="AE34" s="1298">
        <v>0.04</v>
      </c>
      <c r="AF34" s="1298">
        <v>0.04</v>
      </c>
      <c r="AG34" s="1298" t="s">
        <v>2785</v>
      </c>
      <c r="AH34" s="1298" t="s">
        <v>2786</v>
      </c>
      <c r="AI34" s="1298" t="s">
        <v>2787</v>
      </c>
    </row>
    <row r="35" spans="1:46" s="77" customFormat="1" ht="10.5" customHeight="1">
      <c r="A35" s="498" t="s">
        <v>21</v>
      </c>
      <c r="B35" s="1299" t="s">
        <v>2788</v>
      </c>
      <c r="C35" s="1300"/>
      <c r="D35" s="1301"/>
      <c r="E35" s="1301"/>
      <c r="F35" s="1301"/>
      <c r="G35" s="1302">
        <v>0</v>
      </c>
      <c r="H35" s="1303">
        <v>0</v>
      </c>
      <c r="I35" s="1546">
        <v>0</v>
      </c>
      <c r="J35" s="1547">
        <v>0</v>
      </c>
      <c r="K35" s="1547">
        <v>0</v>
      </c>
      <c r="L35" s="1548">
        <v>0</v>
      </c>
      <c r="Q35" s="93"/>
      <c r="R35" s="498" t="s">
        <v>21</v>
      </c>
      <c r="S35" s="1299" t="s">
        <v>2788</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2789</v>
      </c>
      <c r="C36" s="1300"/>
      <c r="D36" s="1301"/>
      <c r="E36" s="1301"/>
      <c r="F36" s="1301"/>
      <c r="G36" s="1302">
        <v>10</v>
      </c>
      <c r="H36" s="1303">
        <v>10</v>
      </c>
      <c r="I36" s="1302">
        <v>10</v>
      </c>
      <c r="J36" s="1549">
        <v>10</v>
      </c>
      <c r="K36" s="1384">
        <v>10</v>
      </c>
      <c r="L36" s="1308">
        <v>10</v>
      </c>
      <c r="Q36" s="93"/>
      <c r="R36" s="498" t="s">
        <v>32</v>
      </c>
      <c r="S36" s="1299" t="s">
        <v>2789</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52</v>
      </c>
      <c r="B37" s="1304" t="s">
        <v>2109</v>
      </c>
      <c r="C37" s="1305"/>
      <c r="D37" s="1306"/>
      <c r="E37" s="1306"/>
      <c r="F37" s="1306"/>
      <c r="G37" s="1307">
        <v>3</v>
      </c>
      <c r="H37" s="1308">
        <v>3</v>
      </c>
      <c r="I37" s="1307"/>
      <c r="J37" s="1384"/>
      <c r="K37" s="1384"/>
      <c r="L37" s="1308"/>
      <c r="M37" s="163" t="s">
        <v>2098</v>
      </c>
      <c r="N37" s="93"/>
      <c r="O37" s="93"/>
      <c r="P37" s="1523" t="e">
        <f>IF(OR($M$34="9% Credit Competitive Round only", $M$34="9% Credit &amp; HOME"),"9%",IF(OR($M$34="4% Credit/TE Bond", $M$34="4% Credit/TE Bond &amp; HOME", $M$34="4% Credit/TE Bond &amp; HOME NOFA", $M$34="4% Credit &amp; NHTF", $M$34="4% Credit &amp; NHTF &amp; HOME"),"4%",""))</f>
        <v>#REF!</v>
      </c>
      <c r="Q37" s="93"/>
      <c r="R37" s="498" t="s">
        <v>52</v>
      </c>
      <c r="S37" s="1304" t="s">
        <v>2109</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70</v>
      </c>
      <c r="B38" s="1304" t="s">
        <v>2051</v>
      </c>
      <c r="C38" s="1305"/>
      <c r="D38" s="1306"/>
      <c r="E38" s="1306"/>
      <c r="F38" s="1306"/>
      <c r="G38" s="1307">
        <v>20</v>
      </c>
      <c r="H38" s="1308">
        <v>12</v>
      </c>
      <c r="I38" s="1307"/>
      <c r="J38" s="1384"/>
      <c r="K38" s="1384"/>
      <c r="L38" s="1308"/>
      <c r="Q38" s="93"/>
      <c r="R38" s="498" t="s">
        <v>70</v>
      </c>
      <c r="S38" s="1304" t="s">
        <v>2051</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79</v>
      </c>
      <c r="B39" s="1304" t="s">
        <v>2052</v>
      </c>
      <c r="C39" s="1305"/>
      <c r="D39" s="1306"/>
      <c r="E39" s="1306"/>
      <c r="F39" s="1306"/>
      <c r="G39" s="1307">
        <v>6</v>
      </c>
      <c r="H39" s="1308">
        <v>4</v>
      </c>
      <c r="I39" s="1307"/>
      <c r="J39" s="1384"/>
      <c r="K39" s="1384"/>
      <c r="L39" s="1308"/>
      <c r="Q39" s="93"/>
      <c r="R39" s="498" t="s">
        <v>79</v>
      </c>
      <c r="S39" s="1304" t="s">
        <v>2052</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81</v>
      </c>
      <c r="B40" s="1304" t="s">
        <v>2053</v>
      </c>
      <c r="C40" s="1305"/>
      <c r="D40" s="1306"/>
      <c r="E40" s="1306"/>
      <c r="F40" s="1306"/>
      <c r="G40" s="1307">
        <v>3</v>
      </c>
      <c r="H40" s="1308">
        <v>2</v>
      </c>
      <c r="I40" s="1307"/>
      <c r="J40" s="1384"/>
      <c r="K40" s="1384"/>
      <c r="L40" s="1308"/>
      <c r="M40" s="3949" t="s">
        <v>2105</v>
      </c>
      <c r="N40" s="3950"/>
      <c r="O40" s="3950"/>
      <c r="P40" s="3950"/>
      <c r="Q40" s="93"/>
      <c r="R40" s="498" t="s">
        <v>81</v>
      </c>
      <c r="S40" s="1304" t="s">
        <v>2053</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1475</v>
      </c>
      <c r="B41" s="1304" t="s">
        <v>2004</v>
      </c>
      <c r="C41" s="1305"/>
      <c r="D41" s="1306"/>
      <c r="E41" s="1306"/>
      <c r="F41" s="1306"/>
      <c r="G41" s="1307">
        <v>7</v>
      </c>
      <c r="H41" s="1308">
        <v>5</v>
      </c>
      <c r="I41" s="1307"/>
      <c r="J41" s="1384"/>
      <c r="K41" s="1384"/>
      <c r="L41" s="1308"/>
      <c r="M41" s="3949"/>
      <c r="N41" s="3950"/>
      <c r="O41" s="3950"/>
      <c r="P41" s="3950"/>
      <c r="Q41" s="93"/>
      <c r="R41" s="498" t="s">
        <v>1475</v>
      </c>
      <c r="S41" s="1304" t="s">
        <v>2004</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1478</v>
      </c>
      <c r="B42" s="1304" t="s">
        <v>1940</v>
      </c>
      <c r="C42" s="1305"/>
      <c r="D42" s="1306"/>
      <c r="E42" s="1306"/>
      <c r="F42" s="1306"/>
      <c r="G42" s="1307">
        <v>3</v>
      </c>
      <c r="H42" s="1308"/>
      <c r="I42" s="1307"/>
      <c r="J42" s="1384"/>
      <c r="K42" s="1384"/>
      <c r="L42" s="1308"/>
      <c r="M42" s="98" t="s">
        <v>2110</v>
      </c>
      <c r="N42" s="98"/>
      <c r="O42" s="98"/>
      <c r="P42" s="903"/>
      <c r="Q42" s="93"/>
      <c r="R42" s="498" t="s">
        <v>1478</v>
      </c>
      <c r="S42" s="1304" t="s">
        <v>1940</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1481</v>
      </c>
      <c r="B43" s="1304" t="s">
        <v>1750</v>
      </c>
      <c r="C43" s="1305"/>
      <c r="D43" s="1306"/>
      <c r="E43" s="1306"/>
      <c r="F43" s="1306"/>
      <c r="G43" s="1307">
        <v>10</v>
      </c>
      <c r="H43" s="1308">
        <v>5</v>
      </c>
      <c r="I43" s="1307"/>
      <c r="J43" s="1384"/>
      <c r="K43" s="1384"/>
      <c r="L43" s="1308"/>
      <c r="M43" s="98" t="s">
        <v>2114</v>
      </c>
      <c r="N43" s="98"/>
      <c r="O43" s="98"/>
      <c r="P43" s="2518"/>
      <c r="Q43" s="93"/>
      <c r="R43" s="498" t="s">
        <v>1481</v>
      </c>
      <c r="S43" s="1304" t="s">
        <v>1750</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1489</v>
      </c>
      <c r="B44" s="1304" t="s">
        <v>2155</v>
      </c>
      <c r="C44" s="1305"/>
      <c r="D44" s="1306"/>
      <c r="E44" s="1306"/>
      <c r="F44" s="1306"/>
      <c r="G44" s="1307">
        <v>1</v>
      </c>
      <c r="H44" s="1308"/>
      <c r="I44" s="1307"/>
      <c r="J44" s="1384"/>
      <c r="K44" s="1384"/>
      <c r="L44" s="1308"/>
      <c r="M44" s="1396" t="s">
        <v>2119</v>
      </c>
      <c r="N44" s="135"/>
      <c r="O44" s="135"/>
      <c r="P44" s="2519"/>
      <c r="Q44" s="93"/>
      <c r="R44" s="498" t="s">
        <v>1489</v>
      </c>
      <c r="S44" s="1304" t="s">
        <v>2155</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1496</v>
      </c>
      <c r="B45" s="1304" t="s">
        <v>2056</v>
      </c>
      <c r="C45" s="1305"/>
      <c r="D45" s="1306"/>
      <c r="E45" s="1306"/>
      <c r="F45" s="1306"/>
      <c r="G45" s="1307">
        <v>10</v>
      </c>
      <c r="H45" s="1308">
        <v>5</v>
      </c>
      <c r="I45" s="1307"/>
      <c r="J45" s="1384"/>
      <c r="K45" s="1384"/>
      <c r="L45" s="1308"/>
      <c r="M45" s="1396" t="s">
        <v>2122</v>
      </c>
      <c r="N45" s="135"/>
      <c r="O45" s="150" t="s">
        <v>2127</v>
      </c>
      <c r="P45" s="1475" t="str">
        <f>IF('Part VII-Threshold Criteria OLD'!$P$341="Agree","Yes","")</f>
        <v/>
      </c>
      <c r="Q45" s="93"/>
      <c r="R45" s="498" t="s">
        <v>1496</v>
      </c>
      <c r="S45" s="1304" t="s">
        <v>2056</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1518</v>
      </c>
      <c r="B46" s="1304" t="s">
        <v>2141</v>
      </c>
      <c r="C46" s="1305"/>
      <c r="D46" s="1306"/>
      <c r="E46" s="1306"/>
      <c r="F46" s="1306"/>
      <c r="G46" s="1307">
        <v>3</v>
      </c>
      <c r="H46" s="1308"/>
      <c r="I46" s="1307"/>
      <c r="J46" s="1384"/>
      <c r="K46" s="1384"/>
      <c r="L46" s="1308"/>
      <c r="M46" s="1396"/>
      <c r="N46" s="135"/>
      <c r="O46" s="150" t="s">
        <v>2131</v>
      </c>
      <c r="P46" s="1476" t="str">
        <f>IF('Part VII-Threshold Criteria OLD'!$P$344="Agree","Yes","")</f>
        <v/>
      </c>
      <c r="Q46" s="93"/>
      <c r="R46" s="498" t="s">
        <v>1518</v>
      </c>
      <c r="S46" s="1304" t="s">
        <v>2141</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1535</v>
      </c>
      <c r="B47" s="1304" t="s">
        <v>2145</v>
      </c>
      <c r="C47" s="1305"/>
      <c r="D47" s="1306"/>
      <c r="E47" s="1306"/>
      <c r="F47" s="1306"/>
      <c r="G47" s="1307">
        <v>5</v>
      </c>
      <c r="H47" s="1308"/>
      <c r="I47" s="1307"/>
      <c r="J47" s="1384"/>
      <c r="K47" s="1384"/>
      <c r="L47" s="1308"/>
      <c r="M47" s="933"/>
      <c r="N47" s="1420"/>
      <c r="O47" s="1397" t="s">
        <v>2135</v>
      </c>
      <c r="P47" s="1477" t="str">
        <f>IF('Part VII-Threshold Criteria OLD'!$P$346="Agree","Yes","")</f>
        <v/>
      </c>
      <c r="Q47" s="93"/>
      <c r="R47" s="498" t="s">
        <v>1535</v>
      </c>
      <c r="S47" s="1304" t="s">
        <v>2145</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1527</v>
      </c>
      <c r="B48" s="1304" t="s">
        <v>2095</v>
      </c>
      <c r="C48" s="1305"/>
      <c r="D48" s="1306"/>
      <c r="E48" s="1306"/>
      <c r="F48" s="1306"/>
      <c r="G48" s="1307">
        <v>4</v>
      </c>
      <c r="H48" s="1308">
        <v>4</v>
      </c>
      <c r="I48" s="1307">
        <v>4</v>
      </c>
      <c r="J48" s="1384">
        <v>4</v>
      </c>
      <c r="K48" s="1384">
        <v>4</v>
      </c>
      <c r="L48" s="1308">
        <v>4</v>
      </c>
      <c r="M48" s="1414" t="s">
        <v>2138</v>
      </c>
      <c r="N48" s="1415"/>
      <c r="O48" s="1416"/>
      <c r="P48" s="903"/>
      <c r="R48" s="498" t="s">
        <v>1527</v>
      </c>
      <c r="S48" s="1304" t="s">
        <v>2095</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2603</v>
      </c>
    </row>
    <row r="49" spans="1:46" s="77" customFormat="1" ht="10.5" customHeight="1">
      <c r="A49" s="498" t="s">
        <v>1535</v>
      </c>
      <c r="B49" s="1304" t="s">
        <v>2777</v>
      </c>
      <c r="C49" s="1305"/>
      <c r="D49" s="1306"/>
      <c r="E49" s="1306"/>
      <c r="F49" s="1306"/>
      <c r="G49" s="1307">
        <v>2</v>
      </c>
      <c r="H49" s="1308">
        <v>2</v>
      </c>
      <c r="I49" s="1307">
        <v>2</v>
      </c>
      <c r="J49" s="1384">
        <v>2</v>
      </c>
      <c r="K49" s="1384">
        <v>2</v>
      </c>
      <c r="L49" s="1308">
        <v>2</v>
      </c>
      <c r="M49" s="1417" t="s">
        <v>2142</v>
      </c>
      <c r="N49" s="1418"/>
      <c r="O49" s="1419"/>
      <c r="P49" s="2519"/>
      <c r="R49" s="498" t="s">
        <v>1535</v>
      </c>
      <c r="S49" s="1304" t="s">
        <v>2777</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2790</v>
      </c>
      <c r="AR49" s="135"/>
      <c r="AS49" s="43"/>
      <c r="AT49" s="1473" t="e">
        <f>#REF!+#REF!+#REF!</f>
        <v>#REF!</v>
      </c>
    </row>
    <row r="50" spans="1:46" s="77" customFormat="1" ht="10.5" customHeight="1">
      <c r="A50" s="498" t="s">
        <v>1556</v>
      </c>
      <c r="B50" s="1304" t="s">
        <v>2097</v>
      </c>
      <c r="C50" s="1305"/>
      <c r="D50" s="1306"/>
      <c r="E50" s="1306"/>
      <c r="F50" s="1306"/>
      <c r="G50" s="1307">
        <v>2</v>
      </c>
      <c r="H50" s="1308">
        <v>2</v>
      </c>
      <c r="I50" s="1307">
        <v>2</v>
      </c>
      <c r="J50" s="1384">
        <v>2</v>
      </c>
      <c r="K50" s="1384">
        <v>2</v>
      </c>
      <c r="L50" s="1308">
        <v>2</v>
      </c>
      <c r="M50" s="98" t="s">
        <v>2146</v>
      </c>
      <c r="N50" s="43"/>
      <c r="O50" s="43"/>
      <c r="P50" s="336" t="e">
        <f>#REF!</f>
        <v>#REF!</v>
      </c>
      <c r="R50" s="498" t="s">
        <v>1556</v>
      </c>
      <c r="S50" s="1304" t="s">
        <v>2097</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2791</v>
      </c>
      <c r="AR50" s="1137"/>
      <c r="AS50" s="1137"/>
      <c r="AT50" s="1474" t="e">
        <f>#REF!+#REF!-#REF!-#REF!</f>
        <v>#REF!</v>
      </c>
    </row>
    <row r="51" spans="1:46" s="77" customFormat="1" ht="10.5" customHeight="1">
      <c r="A51" s="498" t="s">
        <v>1566</v>
      </c>
      <c r="B51" s="1304" t="s">
        <v>2162</v>
      </c>
      <c r="C51" s="1305"/>
      <c r="D51" s="1306"/>
      <c r="E51" s="1306"/>
      <c r="F51" s="1306"/>
      <c r="G51" s="1307">
        <v>2</v>
      </c>
      <c r="H51" s="1308"/>
      <c r="I51" s="1307"/>
      <c r="J51" s="1384">
        <v>2</v>
      </c>
      <c r="K51" s="1384">
        <v>2</v>
      </c>
      <c r="L51" s="1308">
        <v>2</v>
      </c>
      <c r="Q51" s="93"/>
      <c r="R51" s="498" t="s">
        <v>1566</v>
      </c>
      <c r="S51" s="1304" t="s">
        <v>2162</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1577</v>
      </c>
      <c r="B52" s="1304" t="s">
        <v>2792</v>
      </c>
      <c r="C52" s="1305"/>
      <c r="D52" s="1306"/>
      <c r="E52" s="1306"/>
      <c r="F52" s="1306"/>
      <c r="G52" s="1307">
        <v>2</v>
      </c>
      <c r="H52" s="1308"/>
      <c r="I52" s="1307"/>
      <c r="J52" s="1384">
        <v>2</v>
      </c>
      <c r="K52" s="1384">
        <v>2</v>
      </c>
      <c r="L52" s="1308">
        <v>2</v>
      </c>
      <c r="M52" s="4071" t="s">
        <v>2793</v>
      </c>
      <c r="N52" s="4072"/>
      <c r="O52" s="4072"/>
      <c r="P52" s="4072"/>
      <c r="Q52" s="284"/>
      <c r="R52" s="498" t="s">
        <v>1577</v>
      </c>
      <c r="S52" s="1304" t="s">
        <v>2792</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1590</v>
      </c>
      <c r="B53" s="1304" t="s">
        <v>2166</v>
      </c>
      <c r="C53" s="1305"/>
      <c r="D53" s="1306"/>
      <c r="E53" s="1306"/>
      <c r="F53" s="1306"/>
      <c r="G53" s="1307">
        <v>2</v>
      </c>
      <c r="H53" s="1308"/>
      <c r="I53" s="1307"/>
      <c r="J53" s="1384">
        <v>2</v>
      </c>
      <c r="K53" s="1384">
        <v>2</v>
      </c>
      <c r="L53" s="1308">
        <v>2</v>
      </c>
      <c r="M53" s="4071"/>
      <c r="N53" s="4072"/>
      <c r="O53" s="4072"/>
      <c r="P53" s="4072"/>
      <c r="R53" s="498" t="s">
        <v>1590</v>
      </c>
      <c r="S53" s="1304" t="s">
        <v>2166</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1595</v>
      </c>
      <c r="B54" s="1304" t="s">
        <v>2099</v>
      </c>
      <c r="C54" s="1305"/>
      <c r="D54" s="1306"/>
      <c r="E54" s="1306"/>
      <c r="F54" s="1306"/>
      <c r="G54" s="1307">
        <v>4</v>
      </c>
      <c r="H54" s="1308">
        <v>2</v>
      </c>
      <c r="I54" s="1307">
        <v>2</v>
      </c>
      <c r="J54" s="1384">
        <v>4</v>
      </c>
      <c r="K54" s="1384">
        <v>4</v>
      </c>
      <c r="L54" s="1308">
        <v>4</v>
      </c>
      <c r="M54" s="4073"/>
      <c r="N54" s="4074"/>
      <c r="O54" s="4074"/>
      <c r="P54" s="4074"/>
      <c r="R54" s="498" t="s">
        <v>1595</v>
      </c>
      <c r="S54" s="1304" t="s">
        <v>2099</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1601</v>
      </c>
      <c r="B55" s="1304" t="s">
        <v>2158</v>
      </c>
      <c r="C55" s="1305"/>
      <c r="D55" s="1306"/>
      <c r="E55" s="1306"/>
      <c r="F55" s="1306"/>
      <c r="G55" s="1307">
        <v>2</v>
      </c>
      <c r="H55" s="1308"/>
      <c r="I55" s="1307"/>
      <c r="J55" s="1384"/>
      <c r="K55" s="1384"/>
      <c r="L55" s="1308"/>
      <c r="M55" s="3951" t="s">
        <v>1746</v>
      </c>
      <c r="N55" s="4664"/>
      <c r="O55" s="4664"/>
      <c r="P55" s="4665"/>
      <c r="R55" s="498" t="s">
        <v>1601</v>
      </c>
      <c r="S55" s="1304" t="s">
        <v>2158</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1608</v>
      </c>
      <c r="B56" s="1304" t="s">
        <v>2102</v>
      </c>
      <c r="C56" s="1305"/>
      <c r="D56" s="1306"/>
      <c r="E56" s="1306"/>
      <c r="F56" s="1306"/>
      <c r="G56" s="1307">
        <v>10</v>
      </c>
      <c r="H56" s="1308">
        <v>10</v>
      </c>
      <c r="I56" s="1307">
        <v>10</v>
      </c>
      <c r="J56" s="1384">
        <v>10</v>
      </c>
      <c r="K56" s="1384">
        <v>10</v>
      </c>
      <c r="L56" s="1308">
        <v>10</v>
      </c>
      <c r="M56" s="3952"/>
      <c r="N56" s="3953"/>
      <c r="O56" s="3953"/>
      <c r="P56" s="3954"/>
      <c r="R56" s="498" t="s">
        <v>1608</v>
      </c>
      <c r="S56" s="1304" t="s">
        <v>2102</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1613</v>
      </c>
      <c r="B57" s="1304" t="s">
        <v>2104</v>
      </c>
      <c r="C57" s="1305"/>
      <c r="D57" s="1306"/>
      <c r="E57" s="1306"/>
      <c r="F57" s="1306"/>
      <c r="G57" s="1307">
        <v>3</v>
      </c>
      <c r="H57" s="1308">
        <v>3</v>
      </c>
      <c r="I57" s="1307">
        <v>3</v>
      </c>
      <c r="J57" s="1384">
        <v>3</v>
      </c>
      <c r="K57" s="1384">
        <v>3</v>
      </c>
      <c r="L57" s="1308">
        <v>3</v>
      </c>
      <c r="R57" s="498" t="s">
        <v>1613</v>
      </c>
      <c r="S57" s="1304" t="s">
        <v>2104</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1620</v>
      </c>
      <c r="B58" s="1304" t="s">
        <v>2042</v>
      </c>
      <c r="C58" s="1305"/>
      <c r="D58" s="1306"/>
      <c r="E58" s="1306"/>
      <c r="F58" s="1306"/>
      <c r="G58" s="1307"/>
      <c r="H58" s="1308"/>
      <c r="I58" s="1307">
        <v>6</v>
      </c>
      <c r="J58" s="1384">
        <v>6</v>
      </c>
      <c r="K58" s="1384">
        <v>6</v>
      </c>
      <c r="L58" s="1308">
        <v>6</v>
      </c>
      <c r="M58" s="3949" t="s">
        <v>1743</v>
      </c>
      <c r="N58" s="3950"/>
      <c r="O58" s="3950"/>
      <c r="P58" s="3950"/>
      <c r="Q58" s="93"/>
      <c r="R58" s="498" t="s">
        <v>1620</v>
      </c>
      <c r="S58" s="1304" t="s">
        <v>2042</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1624</v>
      </c>
      <c r="B59" s="1304" t="s">
        <v>2794</v>
      </c>
      <c r="C59" s="1305"/>
      <c r="D59" s="1306"/>
      <c r="E59" s="1306"/>
      <c r="F59" s="1306"/>
      <c r="G59" s="1307"/>
      <c r="H59" s="1308"/>
      <c r="I59" s="1307">
        <v>6</v>
      </c>
      <c r="J59" s="1384">
        <v>6</v>
      </c>
      <c r="K59" s="1384">
        <v>6</v>
      </c>
      <c r="L59" s="1308">
        <v>6</v>
      </c>
      <c r="M59" s="4069"/>
      <c r="N59" s="4070"/>
      <c r="O59" s="4070"/>
      <c r="P59" s="4070"/>
      <c r="Q59" s="93"/>
      <c r="R59" s="498" t="s">
        <v>1624</v>
      </c>
      <c r="S59" s="1304" t="s">
        <v>2794</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1629</v>
      </c>
      <c r="B60" s="1304" t="s">
        <v>2781</v>
      </c>
      <c r="C60" s="1305"/>
      <c r="D60" s="1306"/>
      <c r="E60" s="1306"/>
      <c r="F60" s="1306"/>
      <c r="G60" s="1307"/>
      <c r="H60" s="1308"/>
      <c r="I60" s="1307">
        <v>4</v>
      </c>
      <c r="J60" s="1384">
        <v>4</v>
      </c>
      <c r="K60" s="1384">
        <v>4</v>
      </c>
      <c r="L60" s="1308">
        <v>4</v>
      </c>
      <c r="M60" s="3826" t="s">
        <v>1748</v>
      </c>
      <c r="N60" s="4666"/>
      <c r="O60" s="4666"/>
      <c r="P60" s="4667"/>
      <c r="R60" s="498" t="s">
        <v>1629</v>
      </c>
      <c r="S60" s="1304" t="s">
        <v>2781</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2782</v>
      </c>
      <c r="B61" s="1309" t="s">
        <v>2783</v>
      </c>
      <c r="C61" s="1310"/>
      <c r="D61" s="1311"/>
      <c r="E61" s="1311"/>
      <c r="F61" s="1311"/>
      <c r="G61" s="1312"/>
      <c r="H61" s="1313"/>
      <c r="I61" s="1312">
        <v>6</v>
      </c>
      <c r="J61" s="1550">
        <v>4</v>
      </c>
      <c r="K61" s="1550">
        <v>6</v>
      </c>
      <c r="L61" s="1313">
        <v>4</v>
      </c>
      <c r="M61" s="3827"/>
      <c r="N61" s="3828"/>
      <c r="O61" s="3828"/>
      <c r="P61" s="3829"/>
      <c r="Q61" s="93"/>
      <c r="R61" s="498" t="s">
        <v>2782</v>
      </c>
      <c r="S61" s="1309" t="s">
        <v>2783</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2176</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2795</v>
      </c>
      <c r="C64" s="3"/>
      <c r="D64" s="3"/>
      <c r="E64" s="3"/>
      <c r="F64" s="13"/>
      <c r="G64" s="13"/>
      <c r="H64" s="98" t="s">
        <v>2796</v>
      </c>
      <c r="I64" s="43"/>
      <c r="J64" s="43"/>
      <c r="K64" s="43"/>
      <c r="L64" s="43"/>
      <c r="M64" s="2538">
        <v>10</v>
      </c>
      <c r="N64" s="51"/>
      <c r="O64" s="653">
        <v>10</v>
      </c>
      <c r="P64" s="653">
        <f>MIN($M64, $M64-P67-P72-P68)</f>
        <v>10</v>
      </c>
      <c r="Q64" s="53" t="s">
        <v>787</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75"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199</v>
      </c>
      <c r="B66" s="92" t="s">
        <v>2797</v>
      </c>
      <c r="C66" s="43"/>
      <c r="D66" s="48"/>
      <c r="E66" s="48"/>
      <c r="F66" s="2585"/>
      <c r="G66" s="43"/>
      <c r="H66" s="43"/>
      <c r="I66" s="43"/>
      <c r="J66" s="43"/>
      <c r="K66" s="43"/>
      <c r="L66" s="43"/>
      <c r="M66" s="43"/>
      <c r="N66" s="28" t="s">
        <v>199</v>
      </c>
      <c r="O66" s="43"/>
      <c r="P66" s="4668">
        <f>SUM(P67:P69)</f>
        <v>0</v>
      </c>
      <c r="Q66" s="13" t="s">
        <v>2798</v>
      </c>
      <c r="R66" s="43"/>
      <c r="S66" s="43"/>
      <c r="T66" s="43"/>
    </row>
    <row r="67" spans="1:20" s="19" customFormat="1" ht="12.75" customHeight="1">
      <c r="A67" s="72"/>
      <c r="B67" s="1193" t="s">
        <v>214</v>
      </c>
      <c r="C67" s="48" t="s">
        <v>2799</v>
      </c>
      <c r="D67" s="48"/>
      <c r="E67" s="48"/>
      <c r="F67" s="2585"/>
      <c r="H67" s="98" t="s">
        <v>2800</v>
      </c>
      <c r="J67" s="23"/>
      <c r="N67" s="217" t="s">
        <v>214</v>
      </c>
      <c r="P67" s="4669">
        <f>F75</f>
        <v>0</v>
      </c>
    </row>
    <row r="68" spans="1:20" s="19" customFormat="1" ht="12.75" customHeight="1">
      <c r="A68" s="72"/>
      <c r="B68" s="1193" t="s">
        <v>222</v>
      </c>
      <c r="C68" s="48" t="s">
        <v>2801</v>
      </c>
      <c r="D68" s="48"/>
      <c r="E68" s="48"/>
      <c r="F68" s="2585"/>
      <c r="H68" s="98" t="s">
        <v>2802</v>
      </c>
      <c r="J68" s="23"/>
      <c r="N68" s="217" t="s">
        <v>222</v>
      </c>
      <c r="P68" s="857">
        <f>J75</f>
        <v>0</v>
      </c>
    </row>
    <row r="69" spans="1:20" s="19" customFormat="1" ht="12.75" customHeight="1">
      <c r="A69" s="72"/>
      <c r="B69" s="1193" t="s">
        <v>226</v>
      </c>
      <c r="C69" s="48" t="s">
        <v>2803</v>
      </c>
      <c r="D69" s="48"/>
      <c r="E69" s="48"/>
      <c r="F69" s="2585"/>
      <c r="H69" s="98" t="s">
        <v>2804</v>
      </c>
      <c r="J69" s="23"/>
      <c r="N69" s="217" t="s">
        <v>226</v>
      </c>
      <c r="P69" s="858"/>
    </row>
    <row r="70" spans="1:20" s="19" customFormat="1" ht="12.75" customHeight="1">
      <c r="C70" s="3874" t="s">
        <v>2805</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211</v>
      </c>
      <c r="B72" s="92" t="s">
        <v>2806</v>
      </c>
      <c r="C72" s="43"/>
      <c r="D72" s="48"/>
      <c r="E72" s="48"/>
      <c r="F72" s="2585"/>
      <c r="G72" s="43"/>
      <c r="H72" s="98" t="s">
        <v>2807</v>
      </c>
      <c r="I72" s="43"/>
      <c r="J72" s="23"/>
      <c r="K72" s="43"/>
      <c r="L72" s="43"/>
      <c r="M72" s="32"/>
      <c r="N72" s="28" t="s">
        <v>211</v>
      </c>
      <c r="O72" s="43"/>
      <c r="P72" s="860">
        <f>O75</f>
        <v>0</v>
      </c>
      <c r="Q72" s="13" t="s">
        <v>2798</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2808</v>
      </c>
      <c r="B74" s="3793"/>
      <c r="C74" s="3793"/>
      <c r="D74" s="3793"/>
      <c r="E74" s="3793"/>
      <c r="F74" s="856" t="s">
        <v>2809</v>
      </c>
      <c r="G74" s="3937" t="s">
        <v>2810</v>
      </c>
      <c r="H74" s="3937"/>
      <c r="I74" s="3937"/>
      <c r="J74" s="856" t="s">
        <v>2809</v>
      </c>
      <c r="K74" s="3941" t="s">
        <v>2811</v>
      </c>
      <c r="L74" s="3941"/>
      <c r="M74" s="3941"/>
      <c r="N74" s="3941"/>
      <c r="O74" s="3935" t="s">
        <v>2809</v>
      </c>
      <c r="P74" s="3936"/>
      <c r="Q74" s="43"/>
      <c r="R74" s="250"/>
      <c r="S74" s="82"/>
      <c r="T74" s="43"/>
    </row>
    <row r="75" spans="1:20" s="18" customFormat="1" ht="12.75" customHeight="1">
      <c r="A75" s="3934"/>
      <c r="B75" s="3934"/>
      <c r="C75" s="3934"/>
      <c r="D75" s="3934"/>
      <c r="E75" s="3934"/>
      <c r="F75" s="4670">
        <f>SUM(F76:F87)</f>
        <v>0</v>
      </c>
      <c r="G75" s="3938"/>
      <c r="H75" s="3939"/>
      <c r="I75" s="3940"/>
      <c r="J75" s="4670">
        <f>SUM(J76:J87)</f>
        <v>0</v>
      </c>
      <c r="K75" s="3942"/>
      <c r="L75" s="3943"/>
      <c r="M75" s="3943"/>
      <c r="N75" s="3944"/>
      <c r="O75" s="3930">
        <f>SUM(O76:O87)</f>
        <v>0</v>
      </c>
      <c r="P75" s="3931"/>
      <c r="Q75" s="250"/>
      <c r="R75" s="82"/>
      <c r="S75" s="43"/>
      <c r="T75" s="43"/>
    </row>
    <row r="76" spans="1:20" s="18" customFormat="1" ht="24.75" customHeight="1">
      <c r="A76" s="4671">
        <v>1</v>
      </c>
      <c r="B76" s="4672"/>
      <c r="C76" s="4672"/>
      <c r="D76" s="4672"/>
      <c r="E76" s="4673"/>
      <c r="F76" s="4674"/>
      <c r="G76" s="4671">
        <v>1</v>
      </c>
      <c r="H76" s="4672"/>
      <c r="I76" s="4673"/>
      <c r="J76" s="4675" t="s">
        <v>2133</v>
      </c>
      <c r="K76" s="4676">
        <v>1</v>
      </c>
      <c r="L76" s="3932"/>
      <c r="M76" s="3932"/>
      <c r="N76" s="3932"/>
      <c r="O76" s="3933" t="s">
        <v>2133</v>
      </c>
      <c r="P76" s="4677"/>
      <c r="Q76" s="248" t="s">
        <v>2400</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2812</v>
      </c>
      <c r="K78" s="3868">
        <v>3</v>
      </c>
      <c r="L78" s="3869"/>
      <c r="M78" s="3869"/>
      <c r="N78" s="3869"/>
      <c r="O78" s="4034" t="s">
        <v>2812</v>
      </c>
      <c r="P78" s="4035"/>
      <c r="Q78" s="4075" t="s">
        <v>2813</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2812</v>
      </c>
      <c r="P79" s="4035"/>
      <c r="Q79" s="4075"/>
      <c r="R79" s="4076"/>
      <c r="S79" s="859"/>
      <c r="T79" s="859"/>
    </row>
    <row r="80" spans="1:20" s="18" customFormat="1" ht="24.75" customHeight="1">
      <c r="A80" s="3835">
        <v>5</v>
      </c>
      <c r="B80" s="3836"/>
      <c r="C80" s="3836"/>
      <c r="D80" s="3836"/>
      <c r="E80" s="3837"/>
      <c r="F80" s="513"/>
      <c r="G80" s="3835">
        <v>5</v>
      </c>
      <c r="H80" s="3836"/>
      <c r="I80" s="3837"/>
      <c r="J80" s="697" t="s">
        <v>2814</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2815</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2816</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2817</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52</v>
      </c>
      <c r="B89" s="50" t="s">
        <v>1866</v>
      </c>
      <c r="E89" s="13"/>
      <c r="G89" s="38"/>
      <c r="I89" s="1140" t="s">
        <v>644</v>
      </c>
      <c r="J89" s="1194" t="e">
        <f>IF(OR($M$34="9% Credit Competitive Round only", $M$34="9% Credit &amp; HOME"),"9%",IF(OR($M$34="4% Credit/TE Bond", $M$34="4% Credit/TE Bond &amp; HOME", $M$34="4% Credit/TE Bond &amp; HOME NOFA", $M$34="4% Credit &amp; NHTF", $M$34="4% Credit &amp; NHTF &amp; HOME"),"4%",""))</f>
        <v>#REF!</v>
      </c>
      <c r="K89" s="1143" t="s">
        <v>821</v>
      </c>
      <c r="L89" s="1142" t="str">
        <f>$M$55</f>
        <v>&lt;&lt; Select Activity Type &gt;&gt;</v>
      </c>
      <c r="M89" s="2538">
        <v>3</v>
      </c>
      <c r="N89" s="32"/>
      <c r="O89" s="653" t="e">
        <f>IF(AND(O93&gt;0,O97&gt;0),"AorB?",MIN($M$89,O93+O97))</f>
        <v>#REF!</v>
      </c>
      <c r="P89" s="653" t="e">
        <f>IF(AND(P93&gt;0,P97&gt;0),"AorB?",MIN($M$89,P93+P97))</f>
        <v>#REF!</v>
      </c>
      <c r="Q89" s="53" t="s">
        <v>787</v>
      </c>
      <c r="S89" s="300"/>
    </row>
    <row r="90" spans="1:19" s="19" customFormat="1" ht="2.25" customHeight="1">
      <c r="A90" s="245"/>
      <c r="B90" s="55"/>
      <c r="E90" s="13"/>
      <c r="F90" s="19" t="s">
        <v>1868</v>
      </c>
      <c r="G90" s="39"/>
      <c r="H90" s="13"/>
      <c r="I90" s="21"/>
      <c r="K90" s="297"/>
      <c r="L90" s="515"/>
      <c r="M90" s="2538"/>
      <c r="N90" s="32"/>
      <c r="O90" s="2"/>
      <c r="P90" s="2"/>
      <c r="Q90" s="53"/>
      <c r="R90" s="209"/>
    </row>
    <row r="91" spans="1:19" s="19" customFormat="1" ht="13.5" customHeight="1">
      <c r="A91" s="72" t="s">
        <v>199</v>
      </c>
      <c r="B91" s="104" t="s">
        <v>2818</v>
      </c>
      <c r="E91" s="13"/>
      <c r="G91" s="39"/>
      <c r="H91" s="25" t="s">
        <v>647</v>
      </c>
      <c r="I91" s="908" t="e">
        <f>#REF!</f>
        <v>#REF!</v>
      </c>
      <c r="M91" s="2538"/>
      <c r="N91" s="32"/>
      <c r="P91" s="1500" t="e">
        <f>IF(AND(O89&gt;0,NOT($M$55="New Supply")), "Ineligible to score in this section, not New Supply!","")</f>
        <v>#REF!</v>
      </c>
      <c r="Q91" s="32"/>
      <c r="R91" s="209"/>
    </row>
    <row r="92" spans="1:19" s="42" customFormat="1" ht="9" customHeight="1">
      <c r="A92" s="72"/>
      <c r="B92" s="4066" t="s">
        <v>2819</v>
      </c>
      <c r="C92" s="4066"/>
      <c r="D92" s="4066"/>
      <c r="E92" s="4066"/>
      <c r="F92" s="4066"/>
      <c r="G92" s="4066"/>
      <c r="H92" s="4066"/>
      <c r="I92" s="4066"/>
      <c r="J92" s="4066"/>
      <c r="K92" s="4066"/>
      <c r="L92" s="4066"/>
      <c r="M92" s="2538"/>
      <c r="N92" s="32"/>
      <c r="Q92" s="32"/>
      <c r="R92" s="209"/>
    </row>
    <row r="93" spans="1:19" s="42" customFormat="1" ht="13.5" customHeight="1">
      <c r="B93" s="4066"/>
      <c r="C93" s="4066"/>
      <c r="D93" s="4066"/>
      <c r="E93" s="4066"/>
      <c r="F93" s="4066"/>
      <c r="G93" s="4066"/>
      <c r="H93" s="4066"/>
      <c r="I93" s="4066"/>
      <c r="J93" s="4066"/>
      <c r="K93" s="4066"/>
      <c r="L93" s="4066"/>
      <c r="M93" s="518">
        <v>2</v>
      </c>
      <c r="N93" s="217" t="s">
        <v>199</v>
      </c>
      <c r="O93" s="522" t="e">
        <f>IF(AND(OR($J$89="9%",$J$89="4%"),$L$89="New Supply"),MIN($M93,O94+O95),0)</f>
        <v>#REF!</v>
      </c>
      <c r="P93" s="522" t="e">
        <f>IF(NOT($J$89="9%"),0,MIN($M93, P94+P95))</f>
        <v>#REF!</v>
      </c>
    </row>
    <row r="94" spans="1:19" s="42" customFormat="1" ht="13.5" customHeight="1">
      <c r="A94" s="72"/>
      <c r="B94" s="873" t="s">
        <v>214</v>
      </c>
      <c r="C94" s="863" t="s">
        <v>1870</v>
      </c>
      <c r="D94" s="13"/>
      <c r="H94" s="13" t="s">
        <v>1871</v>
      </c>
      <c r="I94" s="862"/>
      <c r="J94" s="910" t="e">
        <f>#REF!</f>
        <v>#REF!</v>
      </c>
      <c r="L94" s="4019" t="str">
        <f>IF(AND(O94&gt;0,O95&gt;0), "CHOOSE EITHER A OR B, NOT BOTH!", "")</f>
        <v/>
      </c>
      <c r="M94" s="338">
        <v>2</v>
      </c>
      <c r="N94" s="101" t="s">
        <v>214</v>
      </c>
      <c r="O94" s="2605"/>
      <c r="P94" s="2597"/>
      <c r="Q94" s="891" t="str">
        <f>IF(OR($O94=$M94,$O94=0,$O94=""),"","*CHECK!*")</f>
        <v/>
      </c>
      <c r="R94" s="607" t="s">
        <v>2820</v>
      </c>
    </row>
    <row r="95" spans="1:19" s="42" customFormat="1" ht="13.5" customHeight="1">
      <c r="A95" s="288" t="s">
        <v>2821</v>
      </c>
      <c r="B95" s="873" t="s">
        <v>222</v>
      </c>
      <c r="C95" s="863" t="s">
        <v>1872</v>
      </c>
      <c r="D95" s="13"/>
      <c r="I95" s="862"/>
      <c r="K95" s="13"/>
      <c r="L95" s="4019"/>
      <c r="M95" s="338">
        <v>2</v>
      </c>
      <c r="N95" s="101" t="s">
        <v>222</v>
      </c>
      <c r="O95" s="298"/>
      <c r="P95" s="305"/>
      <c r="Q95" s="891" t="str">
        <f>IF(OR($O95=$M95,$O95=0,$O95=""),"","*CHECK!*")</f>
        <v/>
      </c>
      <c r="R95" s="607" t="s">
        <v>2820</v>
      </c>
    </row>
    <row r="96" spans="1:19" s="19" customFormat="1" ht="6.75" customHeight="1">
      <c r="A96" s="336"/>
      <c r="B96" s="333"/>
      <c r="C96" s="334"/>
      <c r="D96" s="73"/>
      <c r="K96" s="519"/>
      <c r="L96" s="519"/>
      <c r="M96" s="338"/>
      <c r="N96" s="217"/>
      <c r="O96" s="521"/>
      <c r="P96" s="521"/>
    </row>
    <row r="97" spans="1:18" s="19" customFormat="1" ht="13.5" customHeight="1">
      <c r="A97" s="72" t="s">
        <v>211</v>
      </c>
      <c r="B97" s="104" t="s">
        <v>2822</v>
      </c>
      <c r="E97" s="25"/>
      <c r="H97" s="3839" t="s">
        <v>2823</v>
      </c>
      <c r="I97" s="3840"/>
      <c r="J97" s="866" t="s">
        <v>2824</v>
      </c>
      <c r="M97" s="518">
        <v>3</v>
      </c>
      <c r="N97" s="84" t="s">
        <v>211</v>
      </c>
      <c r="O97" s="522" t="e">
        <f>IF(AND(O98="Yes", O99="Yes"),$M$97,0)</f>
        <v>#REF!</v>
      </c>
      <c r="P97" s="522" t="e">
        <f>IF(AND(P98="Yes", P99="Yes"),$M$97,0)</f>
        <v>#REF!</v>
      </c>
    </row>
    <row r="98" spans="1:18" s="19" customFormat="1" ht="13.5" customHeight="1">
      <c r="A98" s="240"/>
      <c r="B98" s="873" t="s">
        <v>214</v>
      </c>
      <c r="C98" s="864">
        <v>0.3</v>
      </c>
      <c r="D98" s="569" t="s">
        <v>2825</v>
      </c>
      <c r="E98" s="25"/>
      <c r="F98" s="264"/>
      <c r="H98" s="701"/>
      <c r="I98" s="702"/>
      <c r="J98" s="865" t="e">
        <f>#REF!</f>
        <v>#REF!</v>
      </c>
      <c r="K98" s="1445" t="e">
        <f>IF(OR(#REF!="",#REF!= 0),0,H98/#REF!)</f>
        <v>#REF!</v>
      </c>
      <c r="L98" s="1446" t="e">
        <f>IF(OR(#REF!="",#REF!= 0),0,I98/#REF!)</f>
        <v>#REF!</v>
      </c>
      <c r="M98" s="338"/>
      <c r="N98" s="217" t="s">
        <v>214</v>
      </c>
      <c r="O98" s="4678" t="e">
        <f>IF(AND(K98 &gt;= $C$98,O99="Yes"),"Yes","No")</f>
        <v>#REF!</v>
      </c>
      <c r="P98" s="4678" t="e">
        <f>IF(AND(L98 &gt;= $C$98,P99="Yes"),"Yes","No")</f>
        <v>#REF!</v>
      </c>
    </row>
    <row r="99" spans="1:18" s="19" customFormat="1" ht="13.5" customHeight="1">
      <c r="A99" s="336"/>
      <c r="B99" s="873" t="s">
        <v>222</v>
      </c>
      <c r="C99" s="274" t="s">
        <v>2826</v>
      </c>
      <c r="E99" s="543"/>
      <c r="F99" s="264"/>
      <c r="I99" s="14"/>
      <c r="J99" s="14"/>
      <c r="K99" s="14"/>
      <c r="L99" s="14"/>
      <c r="M99" s="14"/>
      <c r="N99" s="217" t="s">
        <v>222</v>
      </c>
      <c r="O99" s="118"/>
      <c r="P99" s="308"/>
    </row>
    <row r="100" spans="1:18" s="19" customFormat="1" ht="10.5" customHeight="1">
      <c r="A100" s="43"/>
      <c r="B100" s="45" t="s">
        <v>1437</v>
      </c>
      <c r="D100" s="37"/>
      <c r="E100" s="2574"/>
      <c r="F100" s="2574"/>
      <c r="G100" s="2574"/>
      <c r="H100" s="2574"/>
      <c r="I100" s="2574"/>
      <c r="J100" s="2574"/>
      <c r="K100" s="2574"/>
      <c r="L100" s="2574"/>
      <c r="M100" s="2574"/>
      <c r="N100" s="4679"/>
      <c r="O100" s="31"/>
      <c r="P100" s="2538"/>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3"/>
      <c r="P102" s="2533"/>
    </row>
    <row r="103" spans="1:18" s="19" customFormat="1" ht="13.5" customHeight="1" thickBot="1">
      <c r="A103" s="79" t="s">
        <v>70</v>
      </c>
      <c r="B103" s="50" t="s">
        <v>1878</v>
      </c>
      <c r="D103" s="17"/>
      <c r="K103" s="1143" t="s">
        <v>821</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787</v>
      </c>
    </row>
    <row r="104" spans="1:18" s="19" customFormat="1" ht="15">
      <c r="A104" s="43"/>
      <c r="B104" s="150" t="s">
        <v>2827</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2828</v>
      </c>
      <c r="D105" s="11"/>
      <c r="N105" s="28"/>
      <c r="O105" s="4655"/>
      <c r="P105" s="4680"/>
    </row>
    <row r="106" spans="1:18" s="42" customFormat="1" ht="12.75" customHeight="1">
      <c r="A106" s="72" t="s">
        <v>199</v>
      </c>
      <c r="B106" s="92" t="s">
        <v>1879</v>
      </c>
      <c r="C106" s="3"/>
      <c r="D106" s="3"/>
      <c r="F106" s="151"/>
      <c r="H106" s="498" t="s">
        <v>2829</v>
      </c>
      <c r="I106" s="3859" t="s">
        <v>2830</v>
      </c>
      <c r="J106" s="3860"/>
      <c r="K106" s="3860"/>
      <c r="L106" s="3861"/>
      <c r="M106" s="338">
        <v>20</v>
      </c>
      <c r="N106" s="101" t="s">
        <v>199</v>
      </c>
      <c r="O106" s="1333"/>
      <c r="P106" s="1334"/>
      <c r="Q106" s="891"/>
      <c r="R106" s="607" t="s">
        <v>2820</v>
      </c>
    </row>
    <row r="107" spans="1:18" s="42" customFormat="1" ht="12.75" customHeight="1">
      <c r="A107" s="72" t="s">
        <v>211</v>
      </c>
      <c r="B107" s="92" t="s">
        <v>1880</v>
      </c>
      <c r="D107" s="663"/>
      <c r="F107" s="909"/>
      <c r="H107" s="498" t="s">
        <v>2831</v>
      </c>
      <c r="I107" s="3862"/>
      <c r="J107" s="3863"/>
      <c r="K107" s="3863"/>
      <c r="L107" s="3864"/>
      <c r="M107" s="2585" t="s">
        <v>1881</v>
      </c>
      <c r="N107" s="28" t="s">
        <v>211</v>
      </c>
      <c r="O107" s="1335"/>
      <c r="P107" s="1336"/>
      <c r="R107" s="607" t="s">
        <v>2820</v>
      </c>
    </row>
    <row r="108" spans="1:18" s="19" customFormat="1" ht="12.75" customHeight="1" thickBot="1">
      <c r="A108" s="43"/>
      <c r="B108" s="700" t="s">
        <v>2832</v>
      </c>
      <c r="C108" s="43"/>
      <c r="D108" s="48"/>
      <c r="E108" s="48"/>
      <c r="F108" s="48"/>
      <c r="G108" s="48"/>
      <c r="H108" s="13"/>
      <c r="I108" s="3865"/>
      <c r="J108" s="3866"/>
      <c r="K108" s="3866"/>
      <c r="L108" s="3867"/>
      <c r="M108" s="32"/>
      <c r="N108" s="58"/>
      <c r="O108" s="2"/>
      <c r="P108" s="2533"/>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2400</v>
      </c>
      <c r="R109" s="249"/>
    </row>
    <row r="110" spans="1:18" s="19" customFormat="1" ht="11.85" customHeight="1" thickTop="1">
      <c r="A110" s="43"/>
      <c r="B110" s="23" t="s">
        <v>1437</v>
      </c>
      <c r="C110" s="43"/>
      <c r="D110" s="70"/>
      <c r="E110" s="2574"/>
      <c r="F110" s="2574"/>
      <c r="G110" s="2574"/>
      <c r="H110" s="2574"/>
      <c r="I110" s="2574"/>
      <c r="J110" s="2574"/>
      <c r="K110" s="2574"/>
      <c r="L110" s="2574"/>
      <c r="M110" s="2574"/>
      <c r="N110" s="4679"/>
      <c r="O110" s="31"/>
      <c r="P110" s="2538"/>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8"/>
      <c r="P112" s="2538"/>
    </row>
    <row r="113" spans="1:21" s="19" customFormat="1" ht="13.5" customHeight="1" thickBot="1">
      <c r="A113" s="79" t="s">
        <v>79</v>
      </c>
      <c r="B113" s="50" t="s">
        <v>1883</v>
      </c>
      <c r="D113" s="17"/>
      <c r="H113" s="1141" t="s">
        <v>2833</v>
      </c>
      <c r="I113" s="1205" t="s">
        <v>1743</v>
      </c>
      <c r="J113" s="1142" t="str">
        <f>M60</f>
        <v>&lt;&lt; Select Pool &gt;&gt;</v>
      </c>
      <c r="K113" s="1143" t="s">
        <v>821</v>
      </c>
      <c r="L113" s="1142" t="str">
        <f>M55</f>
        <v>&lt;&lt; Select Activity Type &gt;&gt;</v>
      </c>
      <c r="M113" s="2538">
        <v>6</v>
      </c>
      <c r="N113" s="28"/>
      <c r="O113" s="1197">
        <f>MAX(O131,O138)</f>
        <v>0</v>
      </c>
      <c r="P113" s="1197">
        <f>MAX(P131,P138)</f>
        <v>0</v>
      </c>
      <c r="Q113" s="53" t="s">
        <v>787</v>
      </c>
      <c r="R113" s="662"/>
      <c r="S113" s="662"/>
      <c r="T113" s="662"/>
      <c r="U113" s="662"/>
    </row>
    <row r="114" spans="1:21" s="19" customFormat="1" ht="17.25" customHeight="1">
      <c r="A114" s="79"/>
      <c r="B114" s="48" t="s">
        <v>2834</v>
      </c>
      <c r="D114" s="17"/>
      <c r="H114" s="92"/>
      <c r="L114" s="1491" t="str">
        <f>IF(AND(O113&gt;0,NOT($M$55="New Supply")), "Ineligible to score in this section, not New Supply!","")</f>
        <v/>
      </c>
      <c r="M114" s="2538"/>
      <c r="N114" s="28"/>
      <c r="O114" s="2539" t="s">
        <v>2835</v>
      </c>
      <c r="P114" s="2539" t="s">
        <v>1772</v>
      </c>
      <c r="Q114" s="53"/>
      <c r="R114" s="662"/>
      <c r="S114" s="662"/>
      <c r="T114" s="662"/>
      <c r="U114" s="662"/>
    </row>
    <row r="115" spans="1:21" s="19" customFormat="1" ht="11.25" customHeight="1">
      <c r="A115" s="79"/>
      <c r="B115" s="208" t="s">
        <v>214</v>
      </c>
      <c r="C115" s="13" t="s">
        <v>2836</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222</v>
      </c>
      <c r="C116" s="13" t="s">
        <v>2837</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226</v>
      </c>
      <c r="C117" s="13" t="s">
        <v>2838</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266</v>
      </c>
      <c r="C118" s="13" t="s">
        <v>2839</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2840</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2841</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1884</v>
      </c>
      <c r="D123" s="17"/>
      <c r="F123" s="3918" t="s">
        <v>1885</v>
      </c>
      <c r="G123" s="3918"/>
      <c r="H123" s="3918"/>
      <c r="I123" s="3918"/>
      <c r="J123" s="3918" t="s">
        <v>1886</v>
      </c>
      <c r="K123" s="3918"/>
      <c r="L123" s="3918"/>
      <c r="M123" s="3918"/>
      <c r="N123" s="28"/>
      <c r="O123" s="3919" t="s">
        <v>2842</v>
      </c>
      <c r="P123" s="3920"/>
      <c r="Q123" s="53"/>
      <c r="R123" s="662"/>
      <c r="S123" s="662"/>
      <c r="T123" s="662"/>
      <c r="U123" s="662"/>
    </row>
    <row r="124" spans="1:21" s="19" customFormat="1" ht="12" customHeight="1">
      <c r="B124" s="1402"/>
      <c r="C124" s="862" t="s">
        <v>2843</v>
      </c>
      <c r="E124" s="135"/>
      <c r="F124" s="4681"/>
      <c r="G124" s="3872"/>
      <c r="H124" s="3838"/>
      <c r="I124" s="4682"/>
      <c r="J124" s="4681"/>
      <c r="K124" s="3872"/>
      <c r="L124" s="3838"/>
      <c r="M124" s="4682"/>
      <c r="N124" s="28"/>
      <c r="Q124" s="53"/>
      <c r="R124" s="662"/>
      <c r="S124" s="662"/>
      <c r="T124" s="662"/>
      <c r="U124" s="662"/>
    </row>
    <row r="125" spans="1:21" s="19" customFormat="1" ht="12" customHeight="1">
      <c r="A125" s="1402"/>
      <c r="B125" s="1402"/>
      <c r="C125" s="1402"/>
      <c r="D125" s="146"/>
      <c r="E125" s="1401" t="s">
        <v>2844</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2845</v>
      </c>
      <c r="B126" s="4031"/>
      <c r="C126" s="862" t="s">
        <v>2846</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1"/>
      <c r="B127" s="4031"/>
      <c r="C127" s="146"/>
      <c r="D127" s="146"/>
      <c r="E127" s="1401" t="s">
        <v>2847</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75" customHeight="1">
      <c r="A129" s="1487" t="s">
        <v>2848</v>
      </c>
      <c r="B129" s="50"/>
      <c r="D129" s="17"/>
      <c r="I129" s="4027" t="str">
        <f>IF(AND(O131&gt;0,O138&gt;0),"Pick A or B, not both!","")</f>
        <v/>
      </c>
      <c r="J129" s="4027"/>
      <c r="K129" s="4027" t="str">
        <f>IF(AND(P131&gt;0,P138&gt;0),"Pick A or B, not both!","")</f>
        <v/>
      </c>
      <c r="L129" s="4027"/>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75" customHeight="1">
      <c r="A131" s="76" t="s">
        <v>199</v>
      </c>
      <c r="B131" s="92" t="s">
        <v>1900</v>
      </c>
      <c r="D131" s="17"/>
      <c r="F131" s="700" t="s">
        <v>2849</v>
      </c>
      <c r="M131" s="2538">
        <v>6</v>
      </c>
      <c r="N131" s="217" t="s">
        <v>199</v>
      </c>
      <c r="O131" s="4687">
        <f>IF(OR($J$113="Atlanta Metro",$J$113="Other Metro"),MIN($M131,O133+O134),0)</f>
        <v>0</v>
      </c>
      <c r="P131" s="4687">
        <f>IF(OR($J$113="Atlanta Metro",$J$113="Other Metro"),MIN($M131,P133+P134),0)</f>
        <v>0</v>
      </c>
      <c r="Q131" s="53"/>
    </row>
    <row r="132" spans="1:21" s="19" customFormat="1" ht="12.75" customHeight="1">
      <c r="A132" s="76"/>
      <c r="B132" s="13" t="s">
        <v>2850</v>
      </c>
      <c r="D132" s="17"/>
      <c r="F132" s="21"/>
      <c r="M132" s="2538"/>
      <c r="N132" s="217"/>
      <c r="O132" s="118"/>
      <c r="P132" s="308"/>
      <c r="Q132" s="53"/>
    </row>
    <row r="133" spans="1:21" s="228" customFormat="1" ht="25.5" customHeight="1">
      <c r="B133" s="244" t="s">
        <v>214</v>
      </c>
      <c r="C133" s="3917" t="s">
        <v>2851</v>
      </c>
      <c r="D133" s="3917"/>
      <c r="E133" s="3917"/>
      <c r="F133" s="3917"/>
      <c r="G133" s="3917"/>
      <c r="H133" s="3917"/>
      <c r="I133" s="3917"/>
      <c r="J133" s="3917"/>
      <c r="K133" s="3917"/>
      <c r="L133" s="3917"/>
      <c r="M133" s="1411">
        <v>6</v>
      </c>
      <c r="N133" s="268" t="s">
        <v>214</v>
      </c>
      <c r="O133" s="2596"/>
      <c r="P133" s="1472"/>
      <c r="Q133" s="891"/>
      <c r="R133" s="607" t="s">
        <v>2820</v>
      </c>
    </row>
    <row r="134" spans="1:21" s="228" customFormat="1" ht="12" customHeight="1">
      <c r="A134" s="336" t="s">
        <v>340</v>
      </c>
      <c r="B134" s="244" t="s">
        <v>222</v>
      </c>
      <c r="C134" s="3085" t="s">
        <v>2852</v>
      </c>
      <c r="D134" s="3085"/>
      <c r="E134" s="3085"/>
      <c r="F134" s="3085"/>
      <c r="G134" s="651"/>
      <c r="J134" s="3921" t="s">
        <v>2853</v>
      </c>
      <c r="K134" s="4688"/>
      <c r="L134" s="4689"/>
      <c r="M134" s="338">
        <v>5</v>
      </c>
      <c r="N134" s="242" t="s">
        <v>222</v>
      </c>
      <c r="O134" s="1484"/>
      <c r="P134" s="1485"/>
      <c r="Q134" s="1374" t="s">
        <v>1904</v>
      </c>
      <c r="R134" s="856" t="s">
        <v>1901</v>
      </c>
      <c r="S134" s="856" t="s">
        <v>1902</v>
      </c>
    </row>
    <row r="135" spans="1:21" s="228" customFormat="1" ht="12" customHeight="1">
      <c r="B135" s="244"/>
      <c r="C135" s="3085"/>
      <c r="D135" s="3085"/>
      <c r="E135" s="3085"/>
      <c r="F135" s="3085"/>
      <c r="G135" s="651"/>
      <c r="H135" s="2973" t="s">
        <v>2854</v>
      </c>
      <c r="I135" s="2973"/>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5"/>
      <c r="D136" s="3085"/>
      <c r="E136" s="3085"/>
      <c r="F136" s="3085"/>
      <c r="G136" s="651"/>
      <c r="H136" s="1337"/>
      <c r="I136" s="1466"/>
      <c r="J136" s="3922"/>
      <c r="K136" s="3923"/>
      <c r="L136" s="3924"/>
      <c r="Q136" s="609"/>
      <c r="R136" s="1144">
        <v>0.5</v>
      </c>
      <c r="S136" s="1144">
        <v>4.5</v>
      </c>
    </row>
    <row r="137" spans="1:21" s="228" customFormat="1" ht="12" customHeight="1">
      <c r="B137" s="244"/>
      <c r="C137" s="3085"/>
      <c r="D137" s="3085"/>
      <c r="E137" s="3085"/>
      <c r="F137" s="3085"/>
      <c r="G137" s="651"/>
      <c r="J137" s="3922"/>
      <c r="K137" s="3923"/>
      <c r="L137" s="3924"/>
      <c r="M137" s="42"/>
      <c r="N137" s="42"/>
      <c r="O137" s="42"/>
      <c r="P137" s="42"/>
      <c r="Q137" s="289"/>
      <c r="R137" s="1145">
        <v>1</v>
      </c>
      <c r="S137" s="1145">
        <v>4</v>
      </c>
    </row>
    <row r="138" spans="1:21" s="228" customFormat="1" ht="12" customHeight="1">
      <c r="A138" s="76" t="s">
        <v>211</v>
      </c>
      <c r="B138" s="669" t="s">
        <v>1906</v>
      </c>
      <c r="C138" s="366"/>
      <c r="D138" s="366"/>
      <c r="F138" s="1464" t="s">
        <v>2855</v>
      </c>
      <c r="J138" s="3849" t="s">
        <v>2856</v>
      </c>
      <c r="K138" s="3850"/>
      <c r="L138" s="1400" t="s">
        <v>2857</v>
      </c>
      <c r="M138" s="518">
        <v>3</v>
      </c>
      <c r="N138" s="28" t="s">
        <v>211</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1908</v>
      </c>
      <c r="R138" s="1467">
        <v>0.25</v>
      </c>
      <c r="S138" s="1467">
        <v>3</v>
      </c>
    </row>
    <row r="139" spans="1:21" s="19" customFormat="1" ht="12" customHeight="1">
      <c r="A139" s="79"/>
      <c r="B139" s="1214" t="s">
        <v>214</v>
      </c>
      <c r="C139" s="3085" t="s">
        <v>2858</v>
      </c>
      <c r="D139" s="3085"/>
      <c r="E139" s="3085"/>
      <c r="F139" s="3085"/>
      <c r="G139" s="651"/>
      <c r="H139" s="2973" t="s">
        <v>2859</v>
      </c>
      <c r="I139" s="2973"/>
      <c r="J139" s="3851" t="s">
        <v>2860</v>
      </c>
      <c r="K139" s="3852"/>
      <c r="L139" s="3853"/>
      <c r="M139" s="338">
        <v>3</v>
      </c>
      <c r="N139" s="242" t="s">
        <v>214</v>
      </c>
      <c r="O139" s="4064"/>
      <c r="P139" s="4067"/>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1" t="s">
        <v>2861</v>
      </c>
      <c r="K140" s="4052"/>
      <c r="L140" s="4053"/>
      <c r="M140" s="42"/>
      <c r="O140" s="4065"/>
      <c r="P140" s="4068"/>
      <c r="Q140" s="53"/>
      <c r="R140" s="1145">
        <v>1</v>
      </c>
      <c r="S140" s="1145">
        <v>1</v>
      </c>
      <c r="U140" s="228"/>
    </row>
    <row r="141" spans="1:21" s="19" customFormat="1" ht="11.25" customHeight="1">
      <c r="A141" s="336" t="s">
        <v>340</v>
      </c>
      <c r="B141" s="1214" t="s">
        <v>222</v>
      </c>
      <c r="C141" s="3085" t="s">
        <v>2862</v>
      </c>
      <c r="D141" s="3085"/>
      <c r="E141" s="3085"/>
      <c r="F141" s="3085"/>
      <c r="G141" s="3085"/>
      <c r="H141" s="3085"/>
      <c r="I141" s="1465"/>
      <c r="J141" s="4054"/>
      <c r="K141" s="4055"/>
      <c r="L141" s="4056"/>
      <c r="M141" s="338">
        <v>1</v>
      </c>
      <c r="N141" s="242" t="s">
        <v>222</v>
      </c>
      <c r="O141" s="3873"/>
      <c r="P141" s="4030"/>
      <c r="U141" s="228"/>
    </row>
    <row r="142" spans="1:21" s="19" customFormat="1" ht="11.25" customHeight="1">
      <c r="B142" s="1468"/>
      <c r="C142" s="3085"/>
      <c r="D142" s="3085"/>
      <c r="E142" s="3085"/>
      <c r="F142" s="3085"/>
      <c r="G142" s="3085"/>
      <c r="H142" s="3085"/>
      <c r="I142" s="1465"/>
      <c r="J142" s="4057"/>
      <c r="K142" s="4058"/>
      <c r="L142" s="4059"/>
      <c r="O142" s="3873"/>
      <c r="P142" s="4030"/>
      <c r="T142" s="228"/>
      <c r="U142" s="228"/>
    </row>
    <row r="143" spans="1:21" s="228" customFormat="1" ht="12" customHeight="1">
      <c r="A143" s="1213" t="s">
        <v>340</v>
      </c>
      <c r="B143" s="1214" t="s">
        <v>226</v>
      </c>
      <c r="C143" s="3085" t="s">
        <v>2863</v>
      </c>
      <c r="D143" s="3085"/>
      <c r="E143" s="3085"/>
      <c r="F143" s="3085"/>
      <c r="G143" s="3085"/>
      <c r="H143" s="3085"/>
      <c r="I143" s="4063"/>
      <c r="J143" s="4051" t="s">
        <v>2864</v>
      </c>
      <c r="K143" s="4052"/>
      <c r="L143" s="4053"/>
      <c r="M143" s="1411">
        <v>2</v>
      </c>
      <c r="N143" s="268" t="s">
        <v>226</v>
      </c>
      <c r="O143" s="4028"/>
      <c r="P143" s="3870"/>
      <c r="Q143" s="609"/>
      <c r="R143" s="607"/>
    </row>
    <row r="144" spans="1:21" s="19" customFormat="1" ht="36.75" customHeight="1">
      <c r="C144" s="3085"/>
      <c r="D144" s="3085"/>
      <c r="E144" s="3085"/>
      <c r="F144" s="3085"/>
      <c r="G144" s="3085"/>
      <c r="H144" s="3085"/>
      <c r="I144" s="4063"/>
      <c r="J144" s="4060"/>
      <c r="K144" s="4061"/>
      <c r="L144" s="4062"/>
      <c r="O144" s="4029"/>
      <c r="P144" s="3871"/>
    </row>
    <row r="145" spans="1:19" s="19" customFormat="1" ht="12.75" customHeight="1">
      <c r="A145" s="13" t="s">
        <v>2865</v>
      </c>
      <c r="B145" s="92"/>
      <c r="E145" s="17"/>
      <c r="K145" s="48"/>
      <c r="M145" s="32"/>
      <c r="N145" s="32"/>
      <c r="O145" s="32"/>
      <c r="P145" s="32"/>
      <c r="Q145" s="209"/>
      <c r="R145" s="209"/>
    </row>
    <row r="146" spans="1:19" s="19" customFormat="1" ht="11.25" customHeight="1" thickBot="1">
      <c r="A146" s="43"/>
      <c r="B146" s="700" t="s">
        <v>2832</v>
      </c>
      <c r="C146" s="43"/>
      <c r="D146" s="48"/>
      <c r="E146" s="48"/>
      <c r="F146" s="48"/>
      <c r="G146" s="48"/>
      <c r="H146" s="13"/>
      <c r="K146" s="48"/>
      <c r="M146" s="32"/>
      <c r="N146" s="58"/>
      <c r="O146" s="2"/>
      <c r="P146" s="2533"/>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2400</v>
      </c>
      <c r="R147" s="249"/>
    </row>
    <row r="148" spans="1:19" s="42" customFormat="1" ht="11.85" customHeight="1" thickTop="1">
      <c r="A148" s="43"/>
      <c r="B148" s="45" t="s">
        <v>1437</v>
      </c>
      <c r="C148" s="43"/>
      <c r="D148" s="45"/>
      <c r="E148" s="2586"/>
      <c r="F148" s="2586"/>
      <c r="G148" s="2586"/>
      <c r="H148" s="2586"/>
      <c r="I148" s="2586"/>
      <c r="J148" s="2586"/>
      <c r="K148" s="2586"/>
      <c r="L148" s="2586"/>
      <c r="M148" s="2586"/>
      <c r="N148" s="4691"/>
      <c r="O148" s="510"/>
      <c r="P148" s="2538"/>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79"/>
      <c r="O151" s="31"/>
      <c r="P151" s="2538"/>
    </row>
    <row r="152" spans="1:19" s="19" customFormat="1" ht="13.5" customHeight="1" thickBot="1">
      <c r="A152" s="79" t="s">
        <v>81</v>
      </c>
      <c r="B152" s="50" t="s">
        <v>1912</v>
      </c>
      <c r="C152" s="2574"/>
      <c r="D152" s="2574"/>
      <c r="E152" s="2574"/>
      <c r="G152" s="1143" t="s">
        <v>2427</v>
      </c>
      <c r="H152" s="652" t="str">
        <f>'Part VII-Threshold Criteria OLD'!$J$35</f>
        <v>&lt;&lt; Select PROPOSED Tenancy &gt;&gt;</v>
      </c>
      <c r="M152" s="2538">
        <v>3</v>
      </c>
      <c r="N152" s="4679"/>
      <c r="O152" s="1198"/>
      <c r="P152" s="1199"/>
      <c r="Q152" s="891" t="str">
        <f>IF(OR($O152&lt;=$M152,$O152=0,$O152=""),"","*CHECK!*")</f>
        <v/>
      </c>
      <c r="R152" s="1201" t="s">
        <v>787</v>
      </c>
      <c r="S152" s="607" t="s">
        <v>2820</v>
      </c>
    </row>
    <row r="153" spans="1:19" ht="18.75" customHeight="1">
      <c r="C153" s="1137" t="s">
        <v>2866</v>
      </c>
      <c r="F153" s="1137"/>
      <c r="G153" s="1137"/>
      <c r="H153" s="1137"/>
      <c r="I153" s="1231"/>
      <c r="J153" s="1232"/>
      <c r="K153" s="1233"/>
      <c r="M153" s="19"/>
      <c r="N153"/>
      <c r="O153"/>
      <c r="P153" s="1520"/>
    </row>
    <row r="154" spans="1:19" ht="11.25" customHeight="1">
      <c r="C154" s="1137" t="s">
        <v>2867</v>
      </c>
      <c r="F154" s="1137"/>
      <c r="G154" s="1137"/>
      <c r="H154" s="1137"/>
      <c r="I154" s="1231"/>
      <c r="J154" s="4048" t="s">
        <v>2868</v>
      </c>
      <c r="K154" s="4049"/>
      <c r="L154" s="4049"/>
      <c r="M154" s="4050"/>
      <c r="N154"/>
      <c r="O154"/>
      <c r="P154"/>
    </row>
    <row r="155" spans="1:19" ht="12.75" customHeight="1">
      <c r="B155" s="313"/>
      <c r="C155" s="313"/>
      <c r="D155" s="313"/>
      <c r="F155" s="3643" t="s">
        <v>2869</v>
      </c>
      <c r="G155" s="3643"/>
      <c r="H155" s="3643" t="s">
        <v>2870</v>
      </c>
      <c r="I155" s="3643"/>
      <c r="J155" s="4036" t="s">
        <v>2871</v>
      </c>
      <c r="K155" s="4037"/>
      <c r="L155" s="4039" t="s">
        <v>1916</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1917</v>
      </c>
      <c r="C157" s="2586"/>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3"/>
    </row>
    <row r="159" spans="1:19">
      <c r="B159" s="3898"/>
      <c r="C159" s="3899"/>
      <c r="D159" s="3899"/>
      <c r="E159" s="3900"/>
      <c r="F159" s="3898"/>
      <c r="G159" s="3900"/>
      <c r="H159" s="3898"/>
      <c r="I159" s="3900"/>
      <c r="J159" s="4032"/>
      <c r="K159" s="4033"/>
      <c r="L159" s="4032"/>
      <c r="M159" s="4033"/>
      <c r="N159" s="3925"/>
      <c r="O159" s="3926"/>
      <c r="P159" s="2533"/>
    </row>
    <row r="160" spans="1:19">
      <c r="B160" s="3898"/>
      <c r="C160" s="3899"/>
      <c r="D160" s="3899"/>
      <c r="E160" s="3900"/>
      <c r="F160" s="3898"/>
      <c r="G160" s="3900"/>
      <c r="H160" s="3898"/>
      <c r="I160" s="3900"/>
      <c r="J160" s="4032"/>
      <c r="K160" s="4033"/>
      <c r="L160" s="4032"/>
      <c r="M160" s="4033"/>
      <c r="N160" s="3925"/>
      <c r="O160" s="3926"/>
      <c r="P160" s="2533"/>
    </row>
    <row r="161" spans="1:26">
      <c r="B161" s="3898"/>
      <c r="C161" s="3899"/>
      <c r="D161" s="3899"/>
      <c r="E161" s="3900"/>
      <c r="F161" s="3898"/>
      <c r="G161" s="3900"/>
      <c r="H161" s="3898"/>
      <c r="I161" s="3900"/>
      <c r="J161" s="4032"/>
      <c r="K161" s="4033"/>
      <c r="L161" s="4032"/>
      <c r="M161" s="4033"/>
      <c r="N161" s="3925"/>
      <c r="O161" s="3926"/>
      <c r="P161" s="2533"/>
    </row>
    <row r="162" spans="1:26">
      <c r="B162" s="3898"/>
      <c r="C162" s="3899"/>
      <c r="D162" s="3899"/>
      <c r="E162" s="3900"/>
      <c r="F162" s="3898"/>
      <c r="G162" s="3900"/>
      <c r="H162" s="3898"/>
      <c r="I162" s="3900"/>
      <c r="J162" s="4032"/>
      <c r="K162" s="4033"/>
      <c r="L162" s="4032"/>
      <c r="M162" s="4033"/>
      <c r="N162" s="3925"/>
      <c r="O162" s="3926"/>
      <c r="P162" s="2533"/>
    </row>
    <row r="163" spans="1:26">
      <c r="B163" s="4078"/>
      <c r="C163" s="4079"/>
      <c r="D163" s="4079"/>
      <c r="E163" s="4080"/>
      <c r="F163" s="4078"/>
      <c r="G163" s="4080"/>
      <c r="H163" s="4078"/>
      <c r="I163" s="4080"/>
      <c r="J163" s="4081"/>
      <c r="K163" s="4082"/>
      <c r="L163" s="4081"/>
      <c r="M163" s="4082"/>
      <c r="N163" s="4083"/>
      <c r="O163" s="4084"/>
      <c r="P163" s="2533"/>
    </row>
    <row r="164" spans="1:26" s="19" customFormat="1" ht="10.5" customHeight="1" thickBot="1">
      <c r="A164" s="43"/>
      <c r="B164" s="700" t="s">
        <v>2832</v>
      </c>
      <c r="C164" s="43"/>
      <c r="D164" s="48"/>
      <c r="E164" s="48"/>
      <c r="F164" s="48"/>
      <c r="G164" s="48"/>
      <c r="H164" s="13"/>
      <c r="I164" s="13"/>
      <c r="J164" s="13"/>
      <c r="K164" s="13"/>
      <c r="M164" s="32"/>
      <c r="N164" s="58"/>
      <c r="O164" s="2"/>
      <c r="P164" s="2533"/>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2400</v>
      </c>
    </row>
    <row r="166" spans="1:26" s="19" customFormat="1" ht="10.5" customHeight="1" thickTop="1">
      <c r="A166" s="43"/>
      <c r="B166" s="37" t="s">
        <v>1437</v>
      </c>
      <c r="C166" s="756"/>
      <c r="D166" s="37"/>
      <c r="E166" s="46"/>
      <c r="F166" s="2574"/>
      <c r="G166" s="2574"/>
      <c r="H166" s="2574"/>
      <c r="I166" s="2574"/>
      <c r="J166" s="2574"/>
      <c r="K166" s="2574"/>
      <c r="L166" s="2574"/>
      <c r="M166" s="2574"/>
      <c r="N166" s="4679"/>
      <c r="O166" s="31"/>
      <c r="P166" s="2538"/>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4"/>
      <c r="D168" s="2574"/>
      <c r="E168" s="2574"/>
      <c r="F168" s="2574"/>
      <c r="G168" s="2574"/>
      <c r="H168" s="2574"/>
      <c r="I168" s="2574"/>
      <c r="J168" s="2574"/>
      <c r="K168" s="2574"/>
      <c r="L168" s="2574"/>
      <c r="M168" s="2574"/>
      <c r="N168" s="4679"/>
      <c r="O168" s="31"/>
      <c r="P168" s="2538"/>
    </row>
    <row r="169" spans="1:26" s="42" customFormat="1" ht="13.5" customHeight="1" thickBot="1">
      <c r="A169" s="79" t="s">
        <v>1475</v>
      </c>
      <c r="B169" s="50" t="s">
        <v>1922</v>
      </c>
      <c r="D169" s="21"/>
      <c r="E169" s="21"/>
      <c r="L169" s="1234" t="str">
        <f>IF(AND(O169&gt;0,O171="",O184=""),"Indicate subtotal score(s) in A or B below!","")</f>
        <v/>
      </c>
      <c r="M169" s="2538">
        <v>7</v>
      </c>
      <c r="N169" s="32"/>
      <c r="O169" s="1239">
        <f>O171+O184</f>
        <v>0</v>
      </c>
      <c r="P169" s="1239">
        <f>P171+P184</f>
        <v>0</v>
      </c>
      <c r="Q169" s="53" t="s">
        <v>787</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199</v>
      </c>
      <c r="B171" s="92" t="s">
        <v>1930</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199</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214</v>
      </c>
      <c r="C172" s="13" t="s">
        <v>2872</v>
      </c>
      <c r="D172" s="92"/>
      <c r="E172" s="92"/>
      <c r="F172" s="92"/>
      <c r="G172" s="92"/>
      <c r="H172" s="92"/>
      <c r="I172" s="92"/>
      <c r="J172" s="92"/>
      <c r="K172" s="92"/>
      <c r="L172" s="92"/>
      <c r="M172" s="338">
        <v>2</v>
      </c>
      <c r="N172" s="84" t="s">
        <v>1509</v>
      </c>
      <c r="O172" s="1179"/>
      <c r="P172" s="1220"/>
      <c r="Q172" s="891" t="str">
        <f>IF(OR($O172=$M172,$O172=0,$O172=""),"","*CHECK!*")</f>
        <v/>
      </c>
      <c r="R172" s="607" t="s">
        <v>2820</v>
      </c>
      <c r="S172" s="1210"/>
      <c r="T172" s="1210"/>
      <c r="U172" s="1210"/>
    </row>
    <row r="173" spans="1:26" s="218" customFormat="1" ht="12" customHeight="1">
      <c r="B173" s="84" t="s">
        <v>2467</v>
      </c>
      <c r="C173" s="3637" t="s">
        <v>2873</v>
      </c>
      <c r="D173" s="3637"/>
      <c r="E173" s="3637"/>
      <c r="F173" s="3637"/>
      <c r="G173" s="3637"/>
      <c r="H173" s="3637"/>
      <c r="I173" s="3637"/>
      <c r="J173" s="3637"/>
      <c r="K173" s="3637"/>
      <c r="L173" s="84"/>
      <c r="M173" s="4022" t="s">
        <v>2874</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2467</v>
      </c>
      <c r="M174" s="4016" t="s">
        <v>2875</v>
      </c>
      <c r="N174" s="4017"/>
      <c r="O174" s="4017"/>
      <c r="P174" s="4018"/>
      <c r="S174" s="1210"/>
      <c r="T174" s="1210"/>
      <c r="U174" s="1210"/>
    </row>
    <row r="175" spans="1:26" s="11" customFormat="1" ht="12.75" customHeight="1">
      <c r="B175" s="28" t="s">
        <v>2469</v>
      </c>
      <c r="C175" s="13" t="s">
        <v>2876</v>
      </c>
      <c r="D175" s="13"/>
      <c r="E175" s="13"/>
      <c r="F175" s="13"/>
      <c r="G175" s="13"/>
      <c r="H175" s="13"/>
      <c r="L175" s="28" t="s">
        <v>2469</v>
      </c>
      <c r="M175" s="3851" t="s">
        <v>2875</v>
      </c>
      <c r="N175" s="3852"/>
      <c r="O175" s="3852"/>
      <c r="P175" s="3853"/>
      <c r="S175" s="1210"/>
      <c r="T175" s="1210"/>
      <c r="U175" s="1210"/>
      <c r="V175" s="43"/>
      <c r="W175" s="43"/>
      <c r="X175" s="43"/>
      <c r="Y175" s="43"/>
      <c r="Z175" s="43"/>
    </row>
    <row r="176" spans="1:26" s="11" customFormat="1" ht="12.75" customHeight="1">
      <c r="B176" s="28" t="s">
        <v>2677</v>
      </c>
      <c r="C176" s="13" t="s">
        <v>2877</v>
      </c>
      <c r="D176" s="13"/>
      <c r="E176" s="13"/>
      <c r="F176" s="13"/>
      <c r="G176" s="13"/>
      <c r="H176" s="13"/>
      <c r="L176" s="28" t="s">
        <v>2677</v>
      </c>
      <c r="M176" s="3851" t="s">
        <v>2875</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2878</v>
      </c>
      <c r="C177" s="13" t="s">
        <v>2879</v>
      </c>
      <c r="D177" s="13"/>
      <c r="E177" s="13"/>
      <c r="F177" s="13"/>
      <c r="G177" s="13"/>
      <c r="L177" s="28" t="s">
        <v>2878</v>
      </c>
      <c r="M177" s="3977" t="s">
        <v>2875</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222</v>
      </c>
      <c r="C179" s="56" t="s">
        <v>2880</v>
      </c>
      <c r="D179" s="73"/>
      <c r="E179" s="73"/>
      <c r="F179" s="73"/>
      <c r="G179" s="73"/>
      <c r="H179" s="73"/>
      <c r="I179" s="73"/>
      <c r="K179" s="698"/>
      <c r="L179" s="698"/>
      <c r="R179" s="1210"/>
      <c r="S179" s="1210"/>
      <c r="T179" s="1210"/>
      <c r="U179" s="1210"/>
    </row>
    <row r="180" spans="1:26">
      <c r="A180" s="288"/>
      <c r="B180" s="84" t="s">
        <v>2467</v>
      </c>
      <c r="C180" s="3637" t="s">
        <v>2881</v>
      </c>
      <c r="D180" s="3637"/>
      <c r="E180" s="3637"/>
      <c r="F180" s="3637"/>
      <c r="G180" s="3637"/>
      <c r="H180" s="3637"/>
      <c r="I180" s="3637"/>
      <c r="J180" s="3637"/>
      <c r="K180" s="3637"/>
      <c r="L180" s="3637"/>
      <c r="M180" s="1411">
        <v>1</v>
      </c>
      <c r="N180" s="84" t="s">
        <v>2882</v>
      </c>
      <c r="O180" s="1217"/>
      <c r="P180" s="1221"/>
      <c r="Q180" s="891" t="str">
        <f>IF(OR($O180=$M180,$O180=0,$O180=""),"","*CHECK!*")</f>
        <v/>
      </c>
      <c r="R180" s="607" t="s">
        <v>2820</v>
      </c>
    </row>
    <row r="181" spans="1:26" ht="36.75" customHeight="1">
      <c r="A181" s="288"/>
      <c r="B181" s="84" t="s">
        <v>2469</v>
      </c>
      <c r="C181" s="3637" t="s">
        <v>2883</v>
      </c>
      <c r="D181" s="3637"/>
      <c r="E181" s="3637"/>
      <c r="F181" s="3637"/>
      <c r="G181" s="3637"/>
      <c r="H181" s="3637"/>
      <c r="I181" s="3637"/>
      <c r="J181" s="3637"/>
      <c r="K181" s="3637"/>
      <c r="L181" s="3637"/>
      <c r="M181" s="1411">
        <v>1</v>
      </c>
      <c r="N181" s="84" t="s">
        <v>2884</v>
      </c>
      <c r="O181" s="1236"/>
      <c r="P181" s="1237"/>
      <c r="Q181" s="891" t="str">
        <f>IF(OR($O181=$M181,$O181=0,$O181=""),"","*CHECK!*")</f>
        <v/>
      </c>
      <c r="R181" s="607" t="s">
        <v>2820</v>
      </c>
    </row>
    <row r="182" spans="1:26" ht="12" customHeight="1">
      <c r="A182" s="288"/>
      <c r="B182" s="246" t="s">
        <v>2677</v>
      </c>
      <c r="C182" s="25" t="s">
        <v>2885</v>
      </c>
      <c r="D182" s="65"/>
      <c r="E182" s="65"/>
      <c r="F182" s="65"/>
      <c r="G182" s="65"/>
      <c r="H182" s="65"/>
      <c r="I182" s="65"/>
      <c r="J182" s="65"/>
      <c r="K182" s="65"/>
      <c r="L182" s="65"/>
      <c r="M182" s="338">
        <v>1</v>
      </c>
      <c r="N182" s="28" t="s">
        <v>2886</v>
      </c>
      <c r="O182" s="1218"/>
      <c r="P182" s="1222"/>
      <c r="Q182" s="891" t="str">
        <f>IF(OR($O182=$M182,$O182=0,$O182=""),"","*CHECK!*")</f>
        <v/>
      </c>
      <c r="R182" s="607" t="s">
        <v>2820</v>
      </c>
    </row>
    <row r="183" spans="1:26" ht="4.5" customHeight="1">
      <c r="A183" s="288"/>
      <c r="B183" s="264"/>
      <c r="C183" s="73"/>
      <c r="D183" s="73"/>
      <c r="E183" s="73"/>
      <c r="F183" s="73"/>
      <c r="G183" s="73"/>
      <c r="H183" s="73"/>
      <c r="M183" s="885"/>
      <c r="N183"/>
      <c r="O183"/>
      <c r="P183"/>
      <c r="R183" s="77"/>
    </row>
    <row r="184" spans="1:26" ht="12.75" customHeight="1">
      <c r="A184" s="72" t="s">
        <v>211</v>
      </c>
      <c r="B184" s="92" t="s">
        <v>1948</v>
      </c>
      <c r="D184" s="11"/>
      <c r="F184" s="869"/>
      <c r="K184" s="683"/>
      <c r="L184" s="209" t="str">
        <f>IF(OR($O184=$M184,$O184=0,$O184=1,$O184=""),"","* * Check Score! * *")</f>
        <v/>
      </c>
      <c r="M184" s="338">
        <v>2</v>
      </c>
      <c r="N184" s="28" t="s">
        <v>211</v>
      </c>
      <c r="O184" s="339"/>
      <c r="P184" s="504"/>
      <c r="Q184" s="609" t="str">
        <f>IF(OR($O184=$M184,$O184=0,$O184=""),"","*CHECK!*")</f>
        <v/>
      </c>
      <c r="R184" s="607" t="s">
        <v>2820</v>
      </c>
    </row>
    <row r="185" spans="1:26" s="42" customFormat="1" ht="10.5" customHeight="1" thickBot="1">
      <c r="A185" s="43"/>
      <c r="B185" s="700" t="s">
        <v>2832</v>
      </c>
      <c r="C185" s="43"/>
      <c r="D185" s="48"/>
      <c r="E185" s="48"/>
      <c r="F185" s="48"/>
      <c r="G185" s="48"/>
      <c r="H185" s="13"/>
      <c r="I185" s="13"/>
      <c r="J185" s="13"/>
      <c r="K185" s="13"/>
      <c r="M185" s="32"/>
      <c r="N185" s="32"/>
      <c r="O185" s="2"/>
      <c r="P185" s="2538"/>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2400</v>
      </c>
    </row>
    <row r="187" spans="1:26" s="42" customFormat="1" ht="11.85" customHeight="1" thickTop="1">
      <c r="A187" s="43"/>
      <c r="B187" s="45" t="s">
        <v>1437</v>
      </c>
      <c r="C187" s="43"/>
      <c r="D187" s="45"/>
      <c r="E187" s="2586"/>
      <c r="F187" s="2586"/>
      <c r="G187" s="2586"/>
      <c r="H187" s="2586"/>
      <c r="I187" s="2586"/>
      <c r="J187" s="2586"/>
      <c r="K187" s="2586"/>
      <c r="L187" s="2586"/>
      <c r="M187" s="2586"/>
      <c r="N187" s="4691"/>
      <c r="O187" s="510"/>
      <c r="P187" s="2538"/>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4"/>
      <c r="D189" s="2574"/>
      <c r="E189" s="2574"/>
      <c r="F189" s="2574"/>
      <c r="G189" s="2574"/>
      <c r="H189" s="2574"/>
      <c r="I189" s="2574"/>
      <c r="J189" s="2574"/>
      <c r="K189" s="2574"/>
      <c r="L189" s="2574"/>
      <c r="M189" s="2574"/>
      <c r="N189" s="4679"/>
      <c r="O189" s="31"/>
      <c r="P189" s="2538"/>
    </row>
    <row r="190" spans="1:26" s="19" customFormat="1" ht="13.5" customHeight="1" thickBot="1">
      <c r="A190" s="79" t="s">
        <v>1478</v>
      </c>
      <c r="B190" s="50" t="s">
        <v>2887</v>
      </c>
      <c r="C190" s="2574"/>
      <c r="D190" s="2574"/>
      <c r="E190" s="2574"/>
      <c r="F190" s="2574"/>
      <c r="G190" s="2574"/>
      <c r="H190" s="2574"/>
      <c r="I190" s="2574"/>
      <c r="J190" s="2574"/>
      <c r="K190" s="2574"/>
      <c r="L190" s="2574"/>
      <c r="M190" s="2538">
        <v>3</v>
      </c>
      <c r="N190" s="4679"/>
      <c r="O190" s="31"/>
      <c r="P190" s="665"/>
      <c r="Q190" s="53" t="s">
        <v>787</v>
      </c>
      <c r="R190" s="607" t="s">
        <v>2888</v>
      </c>
    </row>
    <row r="191" spans="1:26" s="19" customFormat="1" ht="13.5" customHeight="1">
      <c r="A191" s="79"/>
      <c r="B191" s="48" t="s">
        <v>2889</v>
      </c>
      <c r="C191" s="2574"/>
      <c r="D191" s="2574"/>
      <c r="E191" s="2574"/>
      <c r="F191" s="2574"/>
      <c r="G191" s="2574"/>
      <c r="H191" s="2574"/>
      <c r="L191" s="1469" t="str">
        <f>IF(OR(O$233&gt;0,O$205&gt;0),"Applicant is ineligible for points in this section!  Points claimed in Stable Communities or Community Designations.","")</f>
        <v/>
      </c>
      <c r="M191" s="2538"/>
      <c r="N191" s="4679"/>
      <c r="O191" s="267"/>
      <c r="P191" s="787"/>
      <c r="Q191" s="53"/>
      <c r="R191" s="1211"/>
      <c r="S191" s="1211"/>
      <c r="T191" s="1211"/>
      <c r="U191" s="1211"/>
    </row>
    <row r="192" spans="1:26" s="19" customFormat="1" ht="13.5" customHeight="1">
      <c r="A192" s="79"/>
      <c r="B192" s="1068" t="s">
        <v>2890</v>
      </c>
      <c r="C192" s="2574"/>
      <c r="D192" s="2574"/>
      <c r="E192" s="2574"/>
      <c r="F192" s="2574"/>
      <c r="G192" s="2574"/>
      <c r="H192" s="2574"/>
      <c r="L192" s="870"/>
      <c r="M192" s="2538"/>
      <c r="N192" s="2538"/>
      <c r="O192" s="2538"/>
      <c r="P192" s="2538"/>
      <c r="Q192" s="53"/>
      <c r="R192" s="1211"/>
      <c r="S192" s="1211"/>
      <c r="T192" s="1211"/>
      <c r="U192" s="1211"/>
    </row>
    <row r="193" spans="1:24" ht="11.85" customHeight="1">
      <c r="A193" s="72" t="s">
        <v>232</v>
      </c>
      <c r="B193" s="92" t="s">
        <v>2891</v>
      </c>
      <c r="D193" s="11"/>
      <c r="G193" s="264"/>
      <c r="N193"/>
      <c r="O193" s="2585"/>
      <c r="P193" s="2585"/>
      <c r="Q193" s="150"/>
    </row>
    <row r="194" spans="1:24" s="968" customFormat="1" ht="12.75" customHeight="1">
      <c r="B194" s="244" t="s">
        <v>214</v>
      </c>
      <c r="C194" s="3637" t="s">
        <v>2892</v>
      </c>
      <c r="D194" s="3637"/>
      <c r="E194" s="3637"/>
      <c r="F194" s="3637"/>
      <c r="G194" s="3637"/>
      <c r="H194" s="3637"/>
      <c r="I194" s="3637"/>
      <c r="J194" s="3637"/>
      <c r="K194" s="3637"/>
      <c r="L194" s="3637"/>
      <c r="M194" s="666" t="s">
        <v>232</v>
      </c>
      <c r="N194" s="217" t="s">
        <v>214</v>
      </c>
      <c r="O194" s="1376"/>
      <c r="P194" s="1377"/>
      <c r="Q194" s="708"/>
      <c r="V194" s="1187"/>
      <c r="W194" s="1187"/>
    </row>
    <row r="195" spans="1:24" s="11" customFormat="1" ht="12.75" customHeight="1">
      <c r="A195" s="288"/>
      <c r="B195" s="244" t="s">
        <v>222</v>
      </c>
      <c r="C195" s="16" t="s">
        <v>2893</v>
      </c>
      <c r="D195" s="68"/>
      <c r="E195" s="68"/>
      <c r="F195" s="68"/>
      <c r="G195" s="68"/>
      <c r="H195" s="68"/>
      <c r="I195" s="68"/>
      <c r="J195" s="68"/>
      <c r="K195" s="68"/>
      <c r="L195" s="68"/>
      <c r="M195" s="68"/>
      <c r="N195" s="217" t="s">
        <v>222</v>
      </c>
      <c r="O195" s="202"/>
      <c r="P195" s="307"/>
      <c r="Q195" s="611"/>
      <c r="V195" s="703"/>
      <c r="W195" s="703"/>
    </row>
    <row r="196" spans="1:24" s="11" customFormat="1" ht="22.5" customHeight="1">
      <c r="A196" s="288"/>
      <c r="B196" s="244" t="s">
        <v>226</v>
      </c>
      <c r="C196" s="3637" t="s">
        <v>2894</v>
      </c>
      <c r="D196" s="3637"/>
      <c r="E196" s="3637"/>
      <c r="F196" s="3637"/>
      <c r="G196" s="3637"/>
      <c r="H196" s="3637"/>
      <c r="I196" s="3637"/>
      <c r="J196" s="3637"/>
      <c r="K196" s="3637"/>
      <c r="L196" s="3637"/>
      <c r="M196" s="337"/>
      <c r="N196" s="217" t="s">
        <v>226</v>
      </c>
      <c r="O196" s="2590"/>
      <c r="P196" s="2588"/>
      <c r="Q196" s="611"/>
      <c r="V196" s="703"/>
      <c r="W196" s="703"/>
    </row>
    <row r="197" spans="1:24" ht="11.85" customHeight="1">
      <c r="A197" s="72" t="s">
        <v>234</v>
      </c>
      <c r="B197" s="92" t="s">
        <v>2895</v>
      </c>
      <c r="D197" s="11"/>
      <c r="G197" s="264"/>
      <c r="N197"/>
      <c r="O197" s="2585"/>
      <c r="P197" s="2585"/>
      <c r="Q197" s="150"/>
    </row>
    <row r="198" spans="1:24" s="968" customFormat="1" ht="23.25" customHeight="1">
      <c r="B198" s="244" t="s">
        <v>214</v>
      </c>
      <c r="C198" s="3637" t="s">
        <v>2896</v>
      </c>
      <c r="D198" s="3637"/>
      <c r="E198" s="3637"/>
      <c r="F198" s="3637"/>
      <c r="G198" s="3637"/>
      <c r="H198" s="3637"/>
      <c r="I198" s="3637"/>
      <c r="J198" s="3637"/>
      <c r="K198" s="3637"/>
      <c r="L198" s="3637"/>
      <c r="M198" s="666" t="s">
        <v>234</v>
      </c>
      <c r="N198" s="217" t="s">
        <v>214</v>
      </c>
      <c r="O198" s="1376"/>
      <c r="P198" s="1377"/>
      <c r="Q198" s="708"/>
      <c r="V198" s="1187"/>
      <c r="W198" s="1187"/>
    </row>
    <row r="199" spans="1:24" s="11" customFormat="1" ht="23.25" customHeight="1">
      <c r="A199" s="288"/>
      <c r="B199" s="244" t="s">
        <v>222</v>
      </c>
      <c r="C199" s="3637" t="s">
        <v>2897</v>
      </c>
      <c r="D199" s="3637"/>
      <c r="E199" s="3637"/>
      <c r="F199" s="3637"/>
      <c r="G199" s="3637"/>
      <c r="H199" s="3637"/>
      <c r="I199" s="3637"/>
      <c r="J199" s="3637"/>
      <c r="K199" s="3637"/>
      <c r="L199" s="3637"/>
      <c r="M199" s="68"/>
      <c r="N199" s="217" t="s">
        <v>222</v>
      </c>
      <c r="O199" s="2590"/>
      <c r="P199" s="2588"/>
      <c r="Q199" s="611"/>
      <c r="V199" s="703"/>
      <c r="W199" s="703"/>
    </row>
    <row r="200" spans="1:24" s="19" customFormat="1" ht="12" customHeight="1" thickBot="1">
      <c r="A200" s="43"/>
      <c r="B200" s="700" t="s">
        <v>2832</v>
      </c>
      <c r="C200" s="43"/>
      <c r="D200" s="48"/>
      <c r="E200" s="48"/>
      <c r="F200" s="48"/>
      <c r="G200" s="48"/>
      <c r="H200" s="13"/>
      <c r="I200" s="13"/>
      <c r="M200" s="32"/>
      <c r="N200" s="58"/>
      <c r="O200" s="2"/>
      <c r="P200" s="2533"/>
    </row>
    <row r="201" spans="1:24" s="19" customFormat="1" ht="45.75" customHeight="1" thickTop="1" thickBot="1">
      <c r="A201" s="3956"/>
      <c r="B201" s="3957"/>
      <c r="C201" s="3957"/>
      <c r="D201" s="3957"/>
      <c r="E201" s="3957"/>
      <c r="F201" s="3957"/>
      <c r="G201" s="3957"/>
      <c r="H201" s="3957"/>
      <c r="I201" s="3957"/>
      <c r="J201" s="3957"/>
      <c r="K201" s="3957"/>
      <c r="L201" s="3957"/>
      <c r="M201" s="3957"/>
      <c r="N201" s="3957"/>
      <c r="O201" s="3957"/>
      <c r="P201" s="3958"/>
      <c r="Q201" s="249" t="s">
        <v>2400</v>
      </c>
    </row>
    <row r="202" spans="1:24" s="19" customFormat="1" ht="10.5" customHeight="1" thickTop="1">
      <c r="A202" s="43"/>
      <c r="B202" s="37" t="s">
        <v>1437</v>
      </c>
      <c r="C202" s="43"/>
      <c r="D202" s="37"/>
      <c r="E202" s="2574"/>
      <c r="F202" s="2574"/>
      <c r="G202" s="2574"/>
      <c r="H202" s="2574"/>
      <c r="I202" s="2574"/>
      <c r="J202" s="2574"/>
      <c r="K202" s="2574"/>
      <c r="L202" s="2574"/>
      <c r="M202" s="2574"/>
      <c r="N202" s="4679"/>
      <c r="O202" s="31"/>
      <c r="P202" s="2538"/>
    </row>
    <row r="203" spans="1:24" s="19" customFormat="1" ht="22.3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3"/>
      <c r="P204" s="2533"/>
      <c r="V204" s="19"/>
      <c r="W204" s="19"/>
      <c r="X204" s="19"/>
    </row>
    <row r="205" spans="1:24" s="42" customFormat="1" ht="13.5" customHeight="1" thickBot="1">
      <c r="A205" s="79" t="s">
        <v>1481</v>
      </c>
      <c r="B205" s="50" t="s">
        <v>1951</v>
      </c>
      <c r="D205" s="21"/>
      <c r="E205" s="21"/>
      <c r="L205" s="288" t="str">
        <f>IF(AND(O205&gt;0,NOT($M$55="New Supply")), "Ineligible to score in this section, not New Supply!","")</f>
        <v/>
      </c>
      <c r="M205" s="2538">
        <v>10</v>
      </c>
      <c r="N205" s="32"/>
      <c r="O205" s="653">
        <f>MIN($M$205,O207+O211)</f>
        <v>0</v>
      </c>
      <c r="P205" s="653">
        <f>MIN($M$205,P207+P211)</f>
        <v>0</v>
      </c>
      <c r="Q205" s="53" t="s">
        <v>787</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199</v>
      </c>
      <c r="B207" s="92" t="s">
        <v>2898</v>
      </c>
      <c r="D207" s="21"/>
      <c r="E207" s="21"/>
      <c r="K207" s="966"/>
      <c r="M207" s="338">
        <v>5</v>
      </c>
      <c r="N207" s="28" t="s">
        <v>199</v>
      </c>
      <c r="O207" s="339"/>
      <c r="P207" s="504"/>
      <c r="Q207" s="891" t="str">
        <f>IF(O207&lt;=M207,"","*CHECK!*")</f>
        <v/>
      </c>
      <c r="R207" s="607" t="s">
        <v>2820</v>
      </c>
      <c r="S207" s="1212"/>
      <c r="T207" s="1212"/>
      <c r="U207" s="1212"/>
    </row>
    <row r="208" spans="1:24" ht="12.75" customHeight="1">
      <c r="B208" s="1188"/>
      <c r="C208" s="13" t="s">
        <v>2899</v>
      </c>
      <c r="D208" s="42"/>
      <c r="E208" s="21"/>
      <c r="F208" s="21"/>
      <c r="G208" s="42"/>
      <c r="H208" s="42"/>
      <c r="I208" s="42"/>
      <c r="J208" s="3998" t="s">
        <v>1194</v>
      </c>
      <c r="K208" s="3999"/>
      <c r="L208" s="4000"/>
      <c r="M208" s="4001"/>
      <c r="N208" s="32"/>
      <c r="O208" s="2533"/>
      <c r="P208" s="2533"/>
      <c r="R208" s="53"/>
      <c r="S208" s="42"/>
    </row>
    <row r="209" spans="1:27" ht="12.75" customHeight="1">
      <c r="C209" s="517" t="s">
        <v>2900</v>
      </c>
      <c r="D209" s="25"/>
      <c r="J209" s="3974"/>
      <c r="K209" s="3975"/>
      <c r="L209" s="3975"/>
      <c r="M209" s="3976"/>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211</v>
      </c>
      <c r="B211" s="873" t="s">
        <v>2901</v>
      </c>
      <c r="C211" s="13"/>
      <c r="K211" s="28"/>
      <c r="L211" s="28"/>
      <c r="M211" s="338">
        <v>5</v>
      </c>
      <c r="N211" s="28" t="s">
        <v>211</v>
      </c>
      <c r="O211" s="339"/>
      <c r="P211" s="504"/>
      <c r="Q211" s="891" t="str">
        <f>IF(O211&lt;=M211,"","*CHECK!*")</f>
        <v/>
      </c>
      <c r="R211" s="607" t="s">
        <v>2820</v>
      </c>
      <c r="S211" s="1212"/>
      <c r="T211" s="1212"/>
      <c r="U211" s="1212"/>
    </row>
    <row r="212" spans="1:27">
      <c r="C212" s="1219" t="s">
        <v>2902</v>
      </c>
      <c r="E212" s="3822" t="s">
        <v>2903</v>
      </c>
      <c r="F212" s="3822"/>
      <c r="G212" s="3822"/>
      <c r="H212" s="3822"/>
      <c r="I212" s="2602" t="s">
        <v>2904</v>
      </c>
      <c r="J212" s="3822" t="s">
        <v>2903</v>
      </c>
      <c r="K212" s="3822"/>
      <c r="L212" s="3822"/>
      <c r="M212" s="3822"/>
      <c r="N212"/>
      <c r="O212"/>
      <c r="P212"/>
    </row>
    <row r="213" spans="1:27" ht="13.5" customHeight="1">
      <c r="B213" s="292"/>
      <c r="C213" s="13" t="s">
        <v>2905</v>
      </c>
      <c r="E213" s="3823"/>
      <c r="F213" s="3824"/>
      <c r="G213" s="3824"/>
      <c r="H213" s="3825"/>
      <c r="I213" s="1432" t="s">
        <v>1767</v>
      </c>
      <c r="J213" s="3971"/>
      <c r="K213" s="3972"/>
      <c r="L213" s="3972"/>
      <c r="M213" s="3973"/>
      <c r="N213"/>
      <c r="O213" s="2533"/>
      <c r="P213" s="2533"/>
      <c r="Q213" s="2533"/>
      <c r="R213" s="2533"/>
      <c r="S213" s="2533"/>
      <c r="T213" s="2533"/>
      <c r="U213" s="2533"/>
      <c r="V213" s="2533"/>
      <c r="W213" s="2533"/>
      <c r="X213" s="2533"/>
      <c r="Y213" s="2533"/>
      <c r="Z213" s="2533"/>
      <c r="AA213" s="1433"/>
    </row>
    <row r="214" spans="1:27" ht="13.5" customHeight="1">
      <c r="C214" s="13" t="s">
        <v>2906</v>
      </c>
      <c r="E214" s="3927"/>
      <c r="F214" s="3928"/>
      <c r="G214" s="3928"/>
      <c r="H214" s="3929"/>
      <c r="I214" s="1470"/>
      <c r="J214" s="3816"/>
      <c r="K214" s="3817"/>
      <c r="L214" s="3817"/>
      <c r="M214" s="3818"/>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2907</v>
      </c>
      <c r="E215" s="3927"/>
      <c r="F215" s="3928"/>
      <c r="G215" s="3928"/>
      <c r="H215" s="3929"/>
      <c r="I215" s="1470"/>
      <c r="J215" s="3816"/>
      <c r="K215" s="3817"/>
      <c r="L215" s="3817"/>
      <c r="M215" s="3818"/>
      <c r="N215"/>
      <c r="O215" s="2533"/>
      <c r="P215" s="2533"/>
      <c r="Q215" s="2533"/>
      <c r="R215" s="2533"/>
      <c r="S215" s="2533"/>
      <c r="T215" s="2533"/>
      <c r="U215" s="2533"/>
      <c r="V215" s="2533"/>
      <c r="W215" s="2533"/>
      <c r="X215" s="2533"/>
      <c r="Y215" s="2533"/>
      <c r="Z215" s="2533"/>
      <c r="AA215" s="1433"/>
    </row>
    <row r="216" spans="1:27" ht="13.5" customHeight="1">
      <c r="B216" s="25"/>
      <c r="C216" s="13" t="s">
        <v>1977</v>
      </c>
      <c r="E216" s="3962"/>
      <c r="F216" s="3963"/>
      <c r="G216" s="3963"/>
      <c r="H216" s="3964"/>
      <c r="I216" s="1471"/>
      <c r="J216" s="3968"/>
      <c r="K216" s="3969"/>
      <c r="L216" s="3969"/>
      <c r="M216" s="3970"/>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2832</v>
      </c>
      <c r="C219" s="43"/>
      <c r="D219" s="48"/>
      <c r="E219" s="48"/>
      <c r="F219" s="48"/>
      <c r="G219" s="48"/>
      <c r="H219" s="13"/>
      <c r="I219" s="13"/>
      <c r="J219" s="13"/>
      <c r="K219" s="13"/>
      <c r="M219" s="32"/>
      <c r="N219" s="58"/>
      <c r="O219" s="2"/>
      <c r="P219" s="2533"/>
    </row>
    <row r="220" spans="1:27" s="19" customFormat="1" ht="35.1" customHeight="1" thickTop="1" thickBot="1">
      <c r="A220" s="3819"/>
      <c r="B220" s="3820"/>
      <c r="C220" s="3820"/>
      <c r="D220" s="3820"/>
      <c r="E220" s="3820"/>
      <c r="F220" s="3820"/>
      <c r="G220" s="3820"/>
      <c r="H220" s="3820"/>
      <c r="I220" s="3820"/>
      <c r="J220" s="3820"/>
      <c r="K220" s="3820"/>
      <c r="L220" s="3820"/>
      <c r="M220" s="3820"/>
      <c r="N220" s="3820"/>
      <c r="O220" s="3820"/>
      <c r="P220" s="3821"/>
      <c r="Q220" s="249" t="s">
        <v>2400</v>
      </c>
    </row>
    <row r="221" spans="1:27" ht="2.25" customHeight="1" thickTop="1">
      <c r="A221" s="292"/>
      <c r="B221" s="516"/>
      <c r="C221" s="25"/>
      <c r="M221" s="32"/>
      <c r="N221" s="2604"/>
      <c r="O221" s="2538"/>
      <c r="P221" s="2538"/>
    </row>
    <row r="222" spans="1:27" s="19" customFormat="1" ht="10.5" customHeight="1">
      <c r="A222" s="43"/>
      <c r="B222" s="37" t="s">
        <v>1437</v>
      </c>
      <c r="C222" s="43"/>
      <c r="D222" s="37"/>
      <c r="E222" s="2574"/>
      <c r="F222" s="2574"/>
      <c r="G222" s="2574"/>
      <c r="H222" s="2574"/>
      <c r="I222" s="2574"/>
      <c r="J222" s="2574"/>
      <c r="K222" s="2574"/>
      <c r="L222" s="2574"/>
      <c r="M222" s="2574"/>
      <c r="N222" s="4679"/>
      <c r="O222" s="31"/>
      <c r="P222" s="2538"/>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1489</v>
      </c>
      <c r="B225" s="80" t="s">
        <v>2023</v>
      </c>
      <c r="C225" s="25"/>
      <c r="G225" s="1205" t="s">
        <v>2908</v>
      </c>
      <c r="H225" s="1142" t="e">
        <f>IF(OR($M$34="9% Credit Competitive Round only", $M$34="9% Credit &amp; HOME"),"9%",IF(OR($M$34="4% Credit/TE Bond", $M$34="4% Credit/TE Bond &amp; HOME", $M$34="4% Credit/TE Bond &amp; HOME NOFA", $M$34="4% Credit &amp; NHTF", $M$34="4% Credit &amp; NHTF &amp; HOME"),"4%",""))</f>
        <v>#REF!</v>
      </c>
      <c r="J225" s="1205" t="s">
        <v>821</v>
      </c>
      <c r="K225" s="3996" t="str">
        <f>M55</f>
        <v>&lt;&lt; Select Activity Type &gt;&gt;</v>
      </c>
      <c r="L225" s="3997"/>
      <c r="M225" s="2538">
        <v>1</v>
      </c>
      <c r="N225" s="2604"/>
      <c r="O225" s="653">
        <f>IF(O227+O228&gt;$M$225,"Choose",MIN($M$225,SUM(O227:O228)))</f>
        <v>0</v>
      </c>
      <c r="P225" s="653">
        <f>IF(P227+P228&gt;$M$225,"Choose",MIN($M$225,SUM(P227:P228)))</f>
        <v>0</v>
      </c>
      <c r="Q225" s="53" t="s">
        <v>787</v>
      </c>
      <c r="R225" s="652" t="str">
        <f>IF(AND(O225&gt;0,NOT($M$55="New Supply")), "Ineligible to score in this section, not New Supply!","")</f>
        <v/>
      </c>
    </row>
    <row r="226" spans="1:24" s="19" customFormat="1" ht="12" customHeight="1">
      <c r="A226" s="43"/>
      <c r="B226" s="1207" t="s">
        <v>2909</v>
      </c>
      <c r="D226" s="13"/>
      <c r="E226" s="13"/>
      <c r="F226" s="2538"/>
      <c r="G226" s="2585" t="s">
        <v>2025</v>
      </c>
      <c r="H226" s="871" t="e">
        <f>IF(#REF!=0,0,#REF!/#REF!)</f>
        <v>#REF!</v>
      </c>
      <c r="J226" s="264" t="s">
        <v>2910</v>
      </c>
      <c r="K226" s="3966" t="e">
        <f>#REF!</f>
        <v>#REF!</v>
      </c>
      <c r="L226" s="3967"/>
      <c r="M226" s="2585"/>
      <c r="N226" s="2538"/>
      <c r="O226" s="2533"/>
      <c r="P226" s="2"/>
    </row>
    <row r="227" spans="1:24" ht="12" customHeight="1">
      <c r="A227" s="518" t="s">
        <v>199</v>
      </c>
      <c r="B227" s="39" t="s">
        <v>2911</v>
      </c>
      <c r="C227" s="25"/>
      <c r="E227" s="146" t="s">
        <v>2912</v>
      </c>
      <c r="M227" s="338">
        <v>1</v>
      </c>
      <c r="N227" s="28" t="s">
        <v>199</v>
      </c>
      <c r="O227" s="969"/>
      <c r="P227" s="970"/>
      <c r="Q227" s="609" t="str">
        <f>IF(OR($O227=$M227,$O227=0,$O227=""),"","*CHECK!*")</f>
        <v/>
      </c>
      <c r="R227" s="607" t="s">
        <v>2820</v>
      </c>
    </row>
    <row r="228" spans="1:24" ht="12" customHeight="1">
      <c r="A228" s="518" t="s">
        <v>211</v>
      </c>
      <c r="B228" s="39" t="s">
        <v>1870</v>
      </c>
      <c r="C228" s="25"/>
      <c r="E228" s="146" t="s">
        <v>2913</v>
      </c>
      <c r="M228" s="2604">
        <v>1</v>
      </c>
      <c r="N228" s="28" t="s">
        <v>211</v>
      </c>
      <c r="O228" s="298"/>
      <c r="P228" s="305"/>
      <c r="Q228" s="609" t="str">
        <f>IF(OR($O228=$M228,$O228=0,$O228=""),"","*CHECK!*")</f>
        <v/>
      </c>
      <c r="R228" s="607" t="s">
        <v>2820</v>
      </c>
    </row>
    <row r="229" spans="1:24" ht="2.25" customHeight="1">
      <c r="A229" s="292"/>
      <c r="B229" s="516"/>
      <c r="C229" s="25"/>
      <c r="M229" s="32"/>
      <c r="N229" s="2604"/>
      <c r="O229" s="2538"/>
      <c r="P229" s="2538"/>
    </row>
    <row r="230" spans="1:24" s="19" customFormat="1" ht="11.25" customHeight="1">
      <c r="A230" s="43"/>
      <c r="B230" s="37" t="s">
        <v>1437</v>
      </c>
      <c r="C230" s="43"/>
      <c r="D230" s="37"/>
      <c r="E230" s="2574"/>
      <c r="F230" s="2574"/>
      <c r="G230" s="2574"/>
      <c r="H230" s="2574"/>
      <c r="I230" s="2574"/>
      <c r="J230" s="2574"/>
      <c r="K230" s="2574"/>
      <c r="L230" s="2574"/>
      <c r="M230" s="2574"/>
      <c r="N230" s="4679"/>
      <c r="O230" s="31"/>
      <c r="P230" s="2538"/>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1496</v>
      </c>
      <c r="B233" s="50" t="s">
        <v>1980</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787</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199</v>
      </c>
      <c r="B235" s="667" t="s">
        <v>1981</v>
      </c>
      <c r="D235" s="266"/>
      <c r="E235" s="266"/>
      <c r="F235" s="266"/>
      <c r="G235" s="266"/>
      <c r="H235" s="266"/>
      <c r="L235" s="266"/>
      <c r="M235" s="3960" t="str">
        <f>IF(AND(O235="Yes",O236="Yes"),"Only one category can be selected!","")</f>
        <v/>
      </c>
      <c r="N235" s="28" t="s">
        <v>199</v>
      </c>
      <c r="O235" s="937"/>
      <c r="P235" s="938"/>
      <c r="Q235" s="614"/>
      <c r="R235" s="1212"/>
      <c r="S235" s="1212"/>
      <c r="T235" s="1212"/>
      <c r="U235" s="1212"/>
      <c r="V235" s="1212"/>
    </row>
    <row r="236" spans="1:24" ht="11.25" customHeight="1">
      <c r="A236" s="518" t="s">
        <v>211</v>
      </c>
      <c r="B236" s="667" t="s">
        <v>1982</v>
      </c>
      <c r="D236" s="266"/>
      <c r="L236" s="266"/>
      <c r="M236" s="3960"/>
      <c r="N236" s="28" t="s">
        <v>211</v>
      </c>
      <c r="O236" s="118"/>
      <c r="P236" s="308"/>
      <c r="Q236" s="614"/>
      <c r="R236" s="1212"/>
      <c r="S236" s="1212"/>
      <c r="T236" s="1212"/>
      <c r="U236" s="1212"/>
      <c r="V236" s="1212"/>
    </row>
    <row r="237" spans="1:24" s="19" customFormat="1" ht="10.5" customHeight="1" thickBot="1">
      <c r="A237" s="43"/>
      <c r="B237" s="700" t="s">
        <v>2832</v>
      </c>
      <c r="C237" s="43"/>
      <c r="D237" s="48"/>
      <c r="E237" s="48"/>
      <c r="F237" s="48"/>
      <c r="G237" s="48"/>
      <c r="H237" s="13"/>
      <c r="I237" s="13"/>
      <c r="J237" s="13"/>
      <c r="K237" s="13"/>
      <c r="M237" s="32"/>
      <c r="N237" s="58"/>
      <c r="O237" s="2"/>
      <c r="P237" s="2533"/>
      <c r="R237" s="1212"/>
      <c r="S237" s="1212"/>
      <c r="T237" s="1212"/>
      <c r="U237" s="1212"/>
      <c r="V237" s="1212"/>
    </row>
    <row r="238" spans="1:24" s="19" customFormat="1" ht="35.1" customHeight="1" thickTop="1" thickBot="1">
      <c r="A238" s="3819"/>
      <c r="B238" s="3820"/>
      <c r="C238" s="3820"/>
      <c r="D238" s="3820"/>
      <c r="E238" s="3820"/>
      <c r="F238" s="3820"/>
      <c r="G238" s="3820"/>
      <c r="H238" s="3820"/>
      <c r="I238" s="3820"/>
      <c r="J238" s="3820"/>
      <c r="K238" s="3820"/>
      <c r="L238" s="3820"/>
      <c r="M238" s="3820"/>
      <c r="N238" s="3820"/>
      <c r="O238" s="3820"/>
      <c r="P238" s="3821"/>
      <c r="Q238" s="249" t="s">
        <v>2400</v>
      </c>
    </row>
    <row r="239" spans="1:24" s="19" customFormat="1" ht="10.5" customHeight="1" thickTop="1">
      <c r="A239" s="43"/>
      <c r="B239" s="37" t="s">
        <v>1437</v>
      </c>
      <c r="C239" s="43"/>
      <c r="D239" s="37"/>
      <c r="E239" s="2574"/>
      <c r="F239" s="2574"/>
      <c r="G239" s="2574"/>
      <c r="H239" s="2574"/>
      <c r="I239" s="2574"/>
      <c r="J239" s="2574"/>
      <c r="K239" s="2574"/>
      <c r="L239" s="2574"/>
      <c r="M239" s="2574"/>
      <c r="N239" s="4679"/>
      <c r="O239" s="31"/>
      <c r="P239" s="2538"/>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1518</v>
      </c>
      <c r="B242" s="50" t="s">
        <v>1984</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787</v>
      </c>
      <c r="R242" s="607" t="s">
        <v>2820</v>
      </c>
      <c r="S242" s="626"/>
      <c r="T242" s="626"/>
      <c r="U242" s="626"/>
      <c r="V242" s="626"/>
      <c r="W242" s="646"/>
      <c r="X242" s="646"/>
    </row>
    <row r="243" spans="1:27" s="47" customFormat="1" ht="11.1">
      <c r="A243" s="244"/>
      <c r="B243" s="73" t="s">
        <v>1985</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214</v>
      </c>
      <c r="C244" s="13" t="s">
        <v>1988</v>
      </c>
      <c r="D244" s="13"/>
      <c r="E244" s="16" t="s">
        <v>2914</v>
      </c>
      <c r="F244" s="13"/>
      <c r="G244" s="4692"/>
      <c r="H244" s="28" t="s">
        <v>54</v>
      </c>
      <c r="I244" s="3844"/>
      <c r="J244" s="3844"/>
      <c r="K244" s="13"/>
      <c r="L244" s="1241" t="s">
        <v>2915</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222</v>
      </c>
      <c r="C245" s="13" t="s">
        <v>1989</v>
      </c>
      <c r="D245" s="13"/>
      <c r="E245" s="16" t="s">
        <v>2914</v>
      </c>
      <c r="F245" s="13"/>
      <c r="G245" s="1224"/>
      <c r="H245" s="28" t="s">
        <v>54</v>
      </c>
      <c r="I245" s="3961"/>
      <c r="J245" s="3961"/>
      <c r="K245" s="13"/>
      <c r="L245" s="1241" t="s">
        <v>2915</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2832</v>
      </c>
      <c r="C247" s="43"/>
      <c r="D247" s="48"/>
      <c r="E247" s="48"/>
      <c r="F247" s="48"/>
      <c r="G247" s="48"/>
      <c r="H247" s="13"/>
      <c r="I247" s="13"/>
      <c r="J247" s="13"/>
      <c r="K247" s="13"/>
      <c r="M247" s="32"/>
      <c r="N247" s="58"/>
      <c r="O247" s="2"/>
      <c r="P247" s="2533"/>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2400</v>
      </c>
    </row>
    <row r="249" spans="1:27" s="19" customFormat="1" ht="10.5" customHeight="1" thickTop="1">
      <c r="B249" s="37" t="s">
        <v>1437</v>
      </c>
      <c r="C249" s="756"/>
      <c r="D249" s="37"/>
      <c r="E249" s="46"/>
      <c r="F249" s="2574"/>
      <c r="G249" s="2574"/>
      <c r="H249" s="2574"/>
      <c r="I249" s="2574"/>
      <c r="J249" s="2574"/>
      <c r="K249" s="2574"/>
      <c r="L249" s="2574"/>
      <c r="M249" s="2574"/>
      <c r="N249" s="4679"/>
      <c r="O249" s="31"/>
      <c r="P249" s="2538"/>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1524</v>
      </c>
      <c r="B252" s="50" t="s">
        <v>1991</v>
      </c>
      <c r="D252" s="17"/>
      <c r="E252" s="25" t="s">
        <v>2916</v>
      </c>
      <c r="G252" s="27"/>
      <c r="L252" s="288" t="str">
        <f>IF(AND(O252&gt;0,NOT($M$55="New Supply")), "Ineligible to score in this section, not New Supply!","")</f>
        <v/>
      </c>
      <c r="M252" s="2538">
        <v>5</v>
      </c>
      <c r="N252" s="32"/>
      <c r="O252" s="653">
        <f>MIN($M252,MAX(O253,O254,O255))</f>
        <v>0</v>
      </c>
      <c r="P252" s="653">
        <f>MIN($M252,MAX(P253,P254,P255))</f>
        <v>0</v>
      </c>
      <c r="Q252" s="53" t="s">
        <v>787</v>
      </c>
      <c r="R252" s="607" t="s">
        <v>2820</v>
      </c>
      <c r="S252" s="1225"/>
      <c r="T252" s="1225"/>
      <c r="U252" s="1225"/>
      <c r="V252" s="1225"/>
      <c r="W252" s="646"/>
      <c r="X252" s="646"/>
    </row>
    <row r="253" spans="1:27" s="11" customFormat="1" ht="11.25" customHeight="1">
      <c r="A253" s="72" t="s">
        <v>199</v>
      </c>
      <c r="B253" s="92" t="s">
        <v>2917</v>
      </c>
      <c r="M253" s="338">
        <v>5</v>
      </c>
      <c r="N253" s="28" t="s">
        <v>199</v>
      </c>
      <c r="O253" s="2593"/>
      <c r="P253" s="2594"/>
      <c r="Q253" s="609" t="str">
        <f>IF(OR($O253=$M253,$O253=$M253-1,$O253=0,$O253=""),"","*CHECK!*")</f>
        <v/>
      </c>
      <c r="R253" s="607" t="s">
        <v>2820</v>
      </c>
      <c r="S253" s="1225"/>
      <c r="T253" s="1225"/>
      <c r="U253" s="1225"/>
      <c r="V253" s="1225"/>
    </row>
    <row r="254" spans="1:27" s="11" customFormat="1" ht="11.25" customHeight="1">
      <c r="A254" s="72" t="s">
        <v>211</v>
      </c>
      <c r="B254" s="92" t="s">
        <v>2918</v>
      </c>
      <c r="M254" s="338">
        <v>3</v>
      </c>
      <c r="N254" s="28" t="s">
        <v>211</v>
      </c>
      <c r="O254" s="2605"/>
      <c r="P254" s="2597"/>
      <c r="Q254" s="609" t="str">
        <f>IF(OR($O254=$M254,$O254=$M254-1,$O254=0,$O254=""),"","*CHECK!*")</f>
        <v/>
      </c>
      <c r="R254" s="607" t="s">
        <v>2820</v>
      </c>
    </row>
    <row r="255" spans="1:27">
      <c r="A255" s="72" t="s">
        <v>232</v>
      </c>
      <c r="B255" s="92" t="s">
        <v>2919</v>
      </c>
      <c r="E255" s="16" t="s">
        <v>2920</v>
      </c>
      <c r="I255" s="967"/>
      <c r="L255" s="1189"/>
      <c r="M255" s="338">
        <v>3</v>
      </c>
      <c r="N255" s="28" t="s">
        <v>232</v>
      </c>
      <c r="O255" s="298"/>
      <c r="P255" s="305"/>
      <c r="Q255" s="609" t="str">
        <f>IF(OR($O255=$M255,$O255=$M255-1,$O255=0,$O255=""),"","*CHECK!*")</f>
        <v/>
      </c>
      <c r="R255" s="607" t="s">
        <v>2820</v>
      </c>
    </row>
    <row r="256" spans="1:27" s="19" customFormat="1" ht="10.5" customHeight="1" thickBot="1">
      <c r="A256" s="43"/>
      <c r="B256" s="700" t="s">
        <v>2832</v>
      </c>
      <c r="C256" s="43"/>
      <c r="D256" s="48"/>
      <c r="E256" s="48"/>
      <c r="F256" s="48"/>
      <c r="G256" s="48"/>
      <c r="H256" s="13"/>
      <c r="I256" s="13"/>
      <c r="J256" s="13"/>
      <c r="K256" s="13"/>
      <c r="M256" s="32"/>
      <c r="N256" s="58"/>
      <c r="O256" s="2"/>
      <c r="P256" s="2533"/>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2400</v>
      </c>
    </row>
    <row r="258" spans="1:21" s="19" customFormat="1" ht="10.5" customHeight="1" thickTop="1">
      <c r="B258" s="37" t="s">
        <v>1437</v>
      </c>
      <c r="C258" s="756"/>
      <c r="D258" s="37"/>
      <c r="E258" s="46"/>
      <c r="F258" s="2574"/>
      <c r="G258" s="2574"/>
      <c r="H258" s="2574"/>
      <c r="I258" s="2574"/>
      <c r="J258" s="2574"/>
      <c r="K258" s="2574"/>
      <c r="L258" s="2574"/>
      <c r="M258" s="2574"/>
      <c r="N258" s="4679"/>
      <c r="O258" s="31"/>
      <c r="P258" s="2538"/>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3"/>
      <c r="P260" s="2533"/>
      <c r="T260" s="632"/>
      <c r="U260" s="632"/>
    </row>
    <row r="261" spans="1:21" s="19" customFormat="1" ht="13.5" customHeight="1" thickBot="1">
      <c r="A261" s="80" t="s">
        <v>1527</v>
      </c>
      <c r="B261" s="50" t="s">
        <v>1753</v>
      </c>
      <c r="D261" s="17"/>
      <c r="E261" s="17"/>
      <c r="F261" s="17"/>
      <c r="H261" s="16"/>
      <c r="J261" s="2585"/>
      <c r="K261" s="48"/>
      <c r="L261" s="28" t="s">
        <v>2921</v>
      </c>
      <c r="M261" s="2538">
        <v>4</v>
      </c>
      <c r="N261" s="32"/>
      <c r="O261" s="653">
        <f>IF(AND(O262&gt;0,O266&gt;0),"AorB?",MIN($M261,SUM(O262,O266,O268)))</f>
        <v>0</v>
      </c>
      <c r="P261" s="653">
        <f>IF(AND(P262&gt;0,P266&gt;0),"AorB?",MIN($M261,SUM(P262,P266,P268)))</f>
        <v>0</v>
      </c>
      <c r="Q261" s="53" t="s">
        <v>787</v>
      </c>
      <c r="T261" s="632"/>
      <c r="U261" s="632"/>
    </row>
    <row r="262" spans="1:21" s="42" customFormat="1" ht="11.25" customHeight="1">
      <c r="A262" s="72" t="s">
        <v>199</v>
      </c>
      <c r="B262" s="92" t="s">
        <v>1755</v>
      </c>
      <c r="D262" s="27"/>
      <c r="E262" s="27"/>
      <c r="F262" s="20"/>
      <c r="G262"/>
      <c r="L262" s="209"/>
      <c r="M262" s="338">
        <v>3</v>
      </c>
      <c r="N262" s="28" t="s">
        <v>199</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214</v>
      </c>
      <c r="C263" s="16" t="s">
        <v>2922</v>
      </c>
      <c r="D263" s="27"/>
      <c r="E263" s="27"/>
      <c r="F263" s="20"/>
      <c r="G263"/>
      <c r="L263" s="209"/>
      <c r="M263" s="338">
        <v>3</v>
      </c>
      <c r="N263" s="101" t="s">
        <v>214</v>
      </c>
      <c r="O263" s="937"/>
      <c r="P263" s="938"/>
      <c r="Q263" s="609"/>
      <c r="R263" s="652"/>
      <c r="T263" s="632"/>
      <c r="U263" s="632"/>
    </row>
    <row r="264" spans="1:21" s="42" customFormat="1" ht="11.25" customHeight="1">
      <c r="A264" s="72"/>
      <c r="B264" s="244" t="s">
        <v>222</v>
      </c>
      <c r="C264" s="16" t="s">
        <v>2923</v>
      </c>
      <c r="D264" s="27"/>
      <c r="E264" s="27"/>
      <c r="F264" s="20"/>
      <c r="G264"/>
      <c r="L264" s="209"/>
      <c r="M264" s="338">
        <v>2</v>
      </c>
      <c r="N264" s="101" t="s">
        <v>222</v>
      </c>
      <c r="O264" s="202"/>
      <c r="P264" s="307"/>
      <c r="Q264" s="609"/>
      <c r="R264" s="652"/>
      <c r="T264" s="632"/>
      <c r="U264" s="632"/>
    </row>
    <row r="265" spans="1:21" s="42" customFormat="1" ht="10.5" customHeight="1">
      <c r="A265" s="72"/>
      <c r="B265" s="244" t="s">
        <v>226</v>
      </c>
      <c r="C265" s="16" t="s">
        <v>2924</v>
      </c>
      <c r="D265" s="27"/>
      <c r="E265" s="27"/>
      <c r="F265" s="20"/>
      <c r="G265"/>
      <c r="K265" s="28"/>
      <c r="M265" s="338">
        <v>1</v>
      </c>
      <c r="N265" s="101" t="s">
        <v>226</v>
      </c>
      <c r="O265" s="118"/>
      <c r="P265" s="308"/>
      <c r="R265" s="146"/>
      <c r="T265" s="632"/>
      <c r="U265" s="632"/>
    </row>
    <row r="266" spans="1:21" s="19" customFormat="1" ht="11.25" customHeight="1">
      <c r="A266" s="72" t="s">
        <v>211</v>
      </c>
      <c r="B266" s="92" t="s">
        <v>1760</v>
      </c>
      <c r="D266" s="13"/>
      <c r="K266" s="13"/>
      <c r="L266" s="209" t="str">
        <f>IF(OR($O266=$M266,$O266=0,$O266=""),"","* * Check Score! * *")</f>
        <v/>
      </c>
      <c r="M266" s="338">
        <v>1</v>
      </c>
      <c r="N266" s="28" t="s">
        <v>211</v>
      </c>
      <c r="O266" s="674">
        <f>IF(O267="Yes",$M$266,0)</f>
        <v>0</v>
      </c>
      <c r="P266" s="674">
        <f>IF(P267="Yes",$M$266,0)</f>
        <v>0</v>
      </c>
      <c r="Q266" s="609" t="str">
        <f>IF(OR($O266=$M266,$O266=0,$O266=""),"","*CHECK!*")</f>
        <v/>
      </c>
      <c r="R266" s="652"/>
      <c r="T266" s="632"/>
      <c r="U266" s="632"/>
    </row>
    <row r="267" spans="1:21" s="19" customFormat="1" ht="12" customHeight="1">
      <c r="A267" s="80"/>
      <c r="B267" s="3648" t="s">
        <v>2925</v>
      </c>
      <c r="C267" s="3648"/>
      <c r="D267" s="3648"/>
      <c r="E267" s="3648"/>
      <c r="F267" s="3648"/>
      <c r="G267" s="3648"/>
      <c r="H267" s="3648"/>
      <c r="I267" s="3648"/>
      <c r="J267" s="3648"/>
      <c r="K267" s="3648"/>
      <c r="L267" s="3648"/>
      <c r="M267" s="32"/>
      <c r="N267" s="28"/>
      <c r="O267" s="2578"/>
      <c r="P267" s="2579"/>
      <c r="Q267" s="146"/>
      <c r="R267" s="209"/>
      <c r="T267" s="632"/>
      <c r="U267" s="632"/>
    </row>
    <row r="268" spans="1:21" s="19" customFormat="1" ht="11.25" customHeight="1">
      <c r="A268" s="72" t="s">
        <v>232</v>
      </c>
      <c r="B268" s="92" t="s">
        <v>2926</v>
      </c>
      <c r="D268" s="13"/>
      <c r="H268" s="98"/>
      <c r="K268" s="13"/>
      <c r="L268" s="209"/>
      <c r="M268" s="338">
        <v>1</v>
      </c>
      <c r="N268" s="28" t="s">
        <v>232</v>
      </c>
      <c r="O268" s="674">
        <f>IF(O262=0,0,IF(O269="Yes",$M$268,0))</f>
        <v>0</v>
      </c>
      <c r="P268" s="674">
        <f>IF(P262=0,0,IF(P269="Yes",$M$268,0))</f>
        <v>0</v>
      </c>
      <c r="Q268" s="609" t="str">
        <f>IF(OR($O268=$M268,$O268=0,$O268=""),"","*CHECK!*")</f>
        <v/>
      </c>
      <c r="R268" s="652"/>
      <c r="T268" s="632"/>
      <c r="U268" s="632"/>
    </row>
    <row r="269" spans="1:21" s="19" customFormat="1" ht="33.75" customHeight="1">
      <c r="B269" s="3637" t="s">
        <v>2927</v>
      </c>
      <c r="C269" s="3637"/>
      <c r="D269" s="3637"/>
      <c r="E269" s="3637"/>
      <c r="F269" s="3637"/>
      <c r="G269" s="3637"/>
      <c r="H269" s="3637"/>
      <c r="I269" s="3637"/>
      <c r="J269" s="3637"/>
      <c r="K269" s="3637"/>
      <c r="L269" s="3637"/>
      <c r="M269" s="32"/>
      <c r="N269" s="28"/>
      <c r="O269" s="2590"/>
      <c r="P269" s="2588"/>
      <c r="Q269" s="146"/>
      <c r="R269" s="209"/>
      <c r="T269" s="632"/>
      <c r="U269" s="632"/>
    </row>
    <row r="270" spans="1:21" s="19" customFormat="1" ht="22.5" customHeight="1">
      <c r="B270" s="3637" t="s">
        <v>2928</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1437</v>
      </c>
      <c r="C271" s="756"/>
      <c r="D271" s="37"/>
      <c r="E271" s="46"/>
      <c r="F271" s="2574"/>
      <c r="G271" s="2574"/>
      <c r="H271" s="2574"/>
      <c r="I271" s="2574"/>
      <c r="J271" s="2574"/>
      <c r="K271" s="2574"/>
      <c r="L271" s="2574"/>
      <c r="M271" s="2574"/>
      <c r="N271" s="4679"/>
      <c r="O271" s="31"/>
      <c r="P271" s="2538"/>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1535</v>
      </c>
      <c r="B274" s="50" t="s">
        <v>2929</v>
      </c>
      <c r="D274" s="21"/>
      <c r="E274" s="21"/>
      <c r="G274" s="1207"/>
      <c r="H274" s="98"/>
      <c r="I274" s="1205" t="s">
        <v>1743</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787</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199</v>
      </c>
      <c r="B276" s="667" t="s">
        <v>2930</v>
      </c>
      <c r="D276" s="266"/>
      <c r="E276" s="266"/>
      <c r="F276" s="266"/>
      <c r="G276" s="266"/>
      <c r="H276" s="266"/>
      <c r="L276" s="266"/>
      <c r="M276" s="2604">
        <v>1</v>
      </c>
      <c r="N276" s="28" t="s">
        <v>199</v>
      </c>
      <c r="O276" s="937"/>
      <c r="P276" s="938"/>
      <c r="Q276" s="614">
        <f>IF(L276="Yes",1,0)</f>
        <v>0</v>
      </c>
      <c r="R276" s="1212"/>
      <c r="S276" s="1212"/>
      <c r="T276" s="1212"/>
      <c r="U276" s="1212"/>
      <c r="V276" s="1212"/>
    </row>
    <row r="277" spans="1:24" ht="11.25" customHeight="1">
      <c r="A277" s="518" t="s">
        <v>211</v>
      </c>
      <c r="B277" s="667" t="s">
        <v>2931</v>
      </c>
      <c r="D277" s="266"/>
      <c r="L277" s="266"/>
      <c r="M277" s="2604">
        <v>2</v>
      </c>
      <c r="N277" s="28" t="s">
        <v>211</v>
      </c>
      <c r="O277" s="118"/>
      <c r="P277" s="308"/>
      <c r="Q277" s="614">
        <f>IF(L277="Yes",1,0)</f>
        <v>0</v>
      </c>
      <c r="R277" s="1212"/>
      <c r="S277" s="1212"/>
      <c r="T277" s="1212"/>
      <c r="U277" s="1212"/>
      <c r="V277" s="1212"/>
    </row>
    <row r="278" spans="1:24" ht="11.25" customHeight="1">
      <c r="B278" s="150" t="s">
        <v>2932</v>
      </c>
      <c r="D278" s="266"/>
      <c r="L278" s="266"/>
      <c r="M278" s="2604"/>
      <c r="N278" s="2604"/>
      <c r="O278" s="2604"/>
      <c r="P278" s="2604"/>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2832</v>
      </c>
      <c r="C280" s="43"/>
      <c r="D280" s="48"/>
      <c r="E280" s="48"/>
      <c r="F280" s="48"/>
      <c r="G280" s="48"/>
      <c r="H280" s="13"/>
      <c r="I280" s="13"/>
      <c r="J280" s="13"/>
      <c r="K280" s="13"/>
      <c r="M280" s="32"/>
      <c r="N280" s="58"/>
      <c r="O280" s="2"/>
      <c r="P280" s="2533"/>
      <c r="R280" s="1212"/>
      <c r="S280" s="1212"/>
      <c r="T280" s="1212"/>
      <c r="U280" s="1212"/>
      <c r="V280" s="1212"/>
    </row>
    <row r="281" spans="1:24" s="19" customFormat="1" ht="35.1" customHeight="1" thickTop="1" thickBot="1">
      <c r="A281" s="3819"/>
      <c r="B281" s="3820"/>
      <c r="C281" s="3820"/>
      <c r="D281" s="3820"/>
      <c r="E281" s="3820"/>
      <c r="F281" s="3820"/>
      <c r="G281" s="3820"/>
      <c r="H281" s="3820"/>
      <c r="I281" s="3820"/>
      <c r="J281" s="3820"/>
      <c r="K281" s="3820"/>
      <c r="L281" s="3820"/>
      <c r="M281" s="3820"/>
      <c r="N281" s="3820"/>
      <c r="O281" s="3820"/>
      <c r="P281" s="3821"/>
      <c r="Q281" s="249" t="s">
        <v>2400</v>
      </c>
    </row>
    <row r="282" spans="1:24" s="19" customFormat="1" ht="10.5" customHeight="1" thickTop="1">
      <c r="A282" s="43"/>
      <c r="B282" s="37" t="s">
        <v>1437</v>
      </c>
      <c r="C282" s="43"/>
      <c r="D282" s="37"/>
      <c r="E282" s="2574"/>
      <c r="F282" s="2574"/>
      <c r="G282" s="2574"/>
      <c r="H282" s="2574"/>
      <c r="I282" s="2574"/>
      <c r="J282" s="2574"/>
      <c r="K282" s="2574"/>
      <c r="L282" s="2574"/>
      <c r="M282" s="2574"/>
      <c r="N282" s="4679"/>
      <c r="O282" s="31"/>
      <c r="P282" s="2538"/>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1556</v>
      </c>
      <c r="B285" s="50" t="s">
        <v>1769</v>
      </c>
      <c r="D285" s="21"/>
      <c r="E285" s="21"/>
      <c r="G285" s="1207"/>
      <c r="H285" s="98"/>
      <c r="I285" s="98" t="s">
        <v>2933</v>
      </c>
      <c r="J285" s="98"/>
      <c r="K285" s="98"/>
      <c r="L285" s="1486" t="str">
        <f>IF(AND(O295&gt;0,O298&gt;0), "Choose only one option!","")</f>
        <v/>
      </c>
      <c r="M285" s="2538">
        <v>2</v>
      </c>
      <c r="N285" s="32"/>
      <c r="O285" s="653">
        <f>IF(O295=$M$295,$M$295,IF(O298=$M$298,$M$298,0))</f>
        <v>0</v>
      </c>
      <c r="P285" s="653">
        <f>IF(P295=$M$295,$M$295,IF(P298=$M$298,$M$298,0))</f>
        <v>0</v>
      </c>
      <c r="Q285" s="53" t="s">
        <v>787</v>
      </c>
      <c r="R285" s="1212"/>
      <c r="S285" s="1212"/>
      <c r="T285" s="1212"/>
      <c r="U285" s="1212"/>
      <c r="V285" s="1212"/>
    </row>
    <row r="286" spans="1:24" s="42" customFormat="1" ht="11.25" customHeight="1">
      <c r="A286" s="79"/>
      <c r="B286" s="13" t="s">
        <v>2934</v>
      </c>
      <c r="D286" s="21"/>
      <c r="E286" s="21"/>
      <c r="G286" s="98"/>
      <c r="J286" s="961"/>
      <c r="M286" s="336"/>
      <c r="Q286" s="53"/>
      <c r="R286" s="1212"/>
      <c r="S286" s="1212"/>
      <c r="T286" s="1212"/>
      <c r="U286" s="1212"/>
      <c r="V286" s="1212"/>
      <c r="W286" s="19"/>
      <c r="X286" s="19"/>
    </row>
    <row r="287" spans="1:24" s="42" customFormat="1" ht="11.25" customHeight="1">
      <c r="A287" s="79"/>
      <c r="C287" s="13" t="s">
        <v>1773</v>
      </c>
      <c r="G287" s="98"/>
      <c r="I287" s="4005"/>
      <c r="J287" s="4693"/>
      <c r="K287" s="4006"/>
      <c r="L287" s="4007"/>
      <c r="M287" s="336"/>
      <c r="O287" s="1480"/>
      <c r="P287" s="1481"/>
      <c r="Q287" s="53"/>
      <c r="R287" s="1212"/>
      <c r="S287" s="1212"/>
      <c r="T287" s="1212"/>
      <c r="U287" s="1212"/>
      <c r="V287" s="1212"/>
      <c r="W287" s="19"/>
      <c r="X287" s="19"/>
    </row>
    <row r="288" spans="1:24" s="42" customFormat="1" ht="11.25" customHeight="1">
      <c r="A288" s="79"/>
      <c r="C288" s="13" t="s">
        <v>1776</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2935</v>
      </c>
      <c r="G289" s="98"/>
      <c r="I289" s="4010" t="s">
        <v>2936</v>
      </c>
      <c r="J289" s="4011"/>
      <c r="K289" s="4012"/>
      <c r="L289" s="4013"/>
      <c r="M289" s="336"/>
      <c r="O289" s="4014" t="s">
        <v>2835</v>
      </c>
      <c r="P289" s="4014" t="s">
        <v>1772</v>
      </c>
      <c r="Q289" s="53"/>
      <c r="R289" s="1212"/>
      <c r="S289" s="1212"/>
      <c r="T289" s="1212"/>
      <c r="U289" s="1212"/>
      <c r="V289" s="1212"/>
      <c r="W289" s="19"/>
      <c r="X289" s="19"/>
    </row>
    <row r="290" spans="1:24" s="19" customFormat="1" ht="11.25" customHeight="1">
      <c r="A290" s="79"/>
      <c r="B290" s="13" t="s">
        <v>2937</v>
      </c>
      <c r="D290" s="17"/>
      <c r="H290" s="92"/>
      <c r="M290" s="2538"/>
      <c r="N290" s="28"/>
      <c r="O290" s="4015"/>
      <c r="P290" s="4015"/>
      <c r="Q290" s="53"/>
      <c r="R290" s="662"/>
      <c r="S290" s="662"/>
      <c r="T290" s="662"/>
      <c r="U290" s="662"/>
    </row>
    <row r="291" spans="1:24" s="19" customFormat="1" ht="11.25" customHeight="1">
      <c r="A291" s="1479"/>
      <c r="B291" s="84" t="s">
        <v>2467</v>
      </c>
      <c r="C291" s="13" t="s">
        <v>2938</v>
      </c>
      <c r="D291" s="663"/>
      <c r="E291" s="42"/>
      <c r="F291" s="42"/>
      <c r="G291" s="42"/>
      <c r="H291" s="21"/>
      <c r="N291" s="84" t="s">
        <v>2467</v>
      </c>
      <c r="O291" s="937"/>
      <c r="P291" s="938"/>
      <c r="Q291" s="53"/>
      <c r="R291" s="662"/>
      <c r="S291" s="662"/>
      <c r="T291" s="662"/>
      <c r="U291" s="662"/>
    </row>
    <row r="292" spans="1:24" s="19" customFormat="1" ht="11.25" customHeight="1">
      <c r="A292" s="1479"/>
      <c r="B292" s="28" t="s">
        <v>2469</v>
      </c>
      <c r="C292" s="25" t="s">
        <v>2939</v>
      </c>
      <c r="D292" s="663"/>
      <c r="E292" s="42"/>
      <c r="F292" s="42"/>
      <c r="G292" s="42"/>
      <c r="H292" s="21"/>
      <c r="M292" s="42"/>
      <c r="N292" s="28" t="s">
        <v>2469</v>
      </c>
      <c r="O292" s="202"/>
      <c r="P292" s="307"/>
      <c r="Q292" s="53"/>
      <c r="R292" s="662"/>
      <c r="S292" s="662"/>
      <c r="T292" s="662"/>
      <c r="U292" s="662"/>
    </row>
    <row r="293" spans="1:24" s="19" customFormat="1" ht="11.25" customHeight="1">
      <c r="A293" s="1479"/>
      <c r="B293" s="28" t="s">
        <v>2677</v>
      </c>
      <c r="C293" s="13" t="s">
        <v>2940</v>
      </c>
      <c r="D293" s="663"/>
      <c r="E293" s="42"/>
      <c r="F293" s="42"/>
      <c r="G293" s="42"/>
      <c r="H293" s="21"/>
      <c r="I293" s="23"/>
      <c r="J293" s="48"/>
      <c r="K293" s="48"/>
      <c r="L293" s="42"/>
      <c r="M293" s="42"/>
      <c r="N293" s="28" t="s">
        <v>2677</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199</v>
      </c>
      <c r="B295" s="667" t="s">
        <v>1778</v>
      </c>
      <c r="D295" s="266"/>
      <c r="E295" s="266"/>
      <c r="G295" s="266" t="s">
        <v>2941</v>
      </c>
      <c r="H295" s="266"/>
      <c r="L295" s="266"/>
      <c r="M295" s="2604">
        <v>2</v>
      </c>
      <c r="N295" s="28" t="s">
        <v>199</v>
      </c>
      <c r="O295" s="671"/>
      <c r="P295" s="665"/>
      <c r="Q295" s="1404" t="str">
        <f>IF(OR(O295=0,O295="",O295=$M295),"","Check!")</f>
        <v/>
      </c>
      <c r="R295" s="652" t="s">
        <v>2888</v>
      </c>
      <c r="S295" s="1212"/>
      <c r="T295" s="1212"/>
      <c r="U295" s="1212"/>
      <c r="V295" s="1212"/>
    </row>
    <row r="296" spans="1:24" s="228" customFormat="1" ht="21.75" customHeight="1">
      <c r="A296" s="1192"/>
      <c r="B296" s="244" t="s">
        <v>214</v>
      </c>
      <c r="C296" s="3637" t="s">
        <v>2942</v>
      </c>
      <c r="D296" s="3637"/>
      <c r="E296" s="3637"/>
      <c r="F296" s="3637"/>
      <c r="G296" s="3637"/>
      <c r="H296" s="3637"/>
      <c r="I296" s="3637"/>
      <c r="J296" s="3637"/>
      <c r="K296" s="3637"/>
      <c r="L296" s="3637"/>
      <c r="M296" s="3637"/>
      <c r="N296" s="101" t="s">
        <v>214</v>
      </c>
      <c r="O296" s="937"/>
      <c r="P296" s="938"/>
      <c r="Q296" s="227"/>
      <c r="R296" s="1403"/>
      <c r="S296" s="1403"/>
      <c r="T296" s="1403"/>
      <c r="U296" s="1403"/>
    </row>
    <row r="297" spans="1:24" s="228" customFormat="1" ht="21.75" customHeight="1" thickBot="1">
      <c r="A297" s="1192"/>
      <c r="B297" s="244" t="s">
        <v>222</v>
      </c>
      <c r="C297" s="3637" t="s">
        <v>2943</v>
      </c>
      <c r="D297" s="3637"/>
      <c r="E297" s="3637"/>
      <c r="F297" s="3637"/>
      <c r="G297" s="3637"/>
      <c r="H297" s="3637"/>
      <c r="I297" s="3637"/>
      <c r="J297" s="3637"/>
      <c r="K297" s="3637"/>
      <c r="L297" s="3637"/>
      <c r="M297" s="3637"/>
      <c r="N297" s="101" t="s">
        <v>222</v>
      </c>
      <c r="O297" s="2590"/>
      <c r="P297" s="2588"/>
      <c r="Q297" s="227"/>
      <c r="R297" s="1403"/>
      <c r="S297" s="1403"/>
      <c r="T297" s="1403"/>
      <c r="U297" s="1403"/>
    </row>
    <row r="298" spans="1:24" ht="11.25" customHeight="1" thickBot="1">
      <c r="A298" s="518" t="s">
        <v>211</v>
      </c>
      <c r="B298" s="667" t="s">
        <v>1780</v>
      </c>
      <c r="D298" s="266"/>
      <c r="G298" s="25" t="s">
        <v>2944</v>
      </c>
      <c r="L298" s="266"/>
      <c r="M298" s="2604">
        <v>2</v>
      </c>
      <c r="N298" s="28" t="s">
        <v>211</v>
      </c>
      <c r="O298" s="671"/>
      <c r="P298" s="665"/>
      <c r="Q298" s="1404" t="str">
        <f>IF(OR(O298=0,O298="",O298=$M298),"","Check!")</f>
        <v/>
      </c>
      <c r="R298" s="652" t="s">
        <v>2888</v>
      </c>
      <c r="S298" s="1212"/>
      <c r="T298" s="1212"/>
      <c r="U298" s="1212"/>
      <c r="V298" s="1212"/>
    </row>
    <row r="299" spans="1:24" s="228" customFormat="1" ht="10.5" customHeight="1">
      <c r="A299" s="1192"/>
      <c r="B299" s="244" t="s">
        <v>214</v>
      </c>
      <c r="C299" s="3637" t="s">
        <v>2945</v>
      </c>
      <c r="D299" s="3637"/>
      <c r="E299" s="3637"/>
      <c r="F299" s="3637"/>
      <c r="G299" s="3637"/>
      <c r="H299" s="3637"/>
      <c r="I299" s="3637"/>
      <c r="J299" s="3637"/>
      <c r="K299" s="3637"/>
      <c r="L299" s="3637"/>
      <c r="M299" s="3637"/>
      <c r="N299" s="101" t="s">
        <v>214</v>
      </c>
      <c r="O299" s="937"/>
      <c r="P299" s="938"/>
      <c r="Q299" s="227"/>
      <c r="R299" s="1403"/>
      <c r="S299" s="1403"/>
      <c r="T299" s="1403"/>
      <c r="U299" s="1403"/>
    </row>
    <row r="300" spans="1:24" s="228" customFormat="1" ht="10.5" customHeight="1">
      <c r="A300" s="1192"/>
      <c r="B300" s="244" t="s">
        <v>222</v>
      </c>
      <c r="C300" s="3637" t="s">
        <v>2946</v>
      </c>
      <c r="D300" s="3637"/>
      <c r="E300" s="3637"/>
      <c r="F300" s="3637"/>
      <c r="G300" s="3637"/>
      <c r="H300" s="3637"/>
      <c r="I300" s="3637"/>
      <c r="J300" s="3637"/>
      <c r="K300" s="3637"/>
      <c r="L300" s="3637"/>
      <c r="M300" s="3637"/>
      <c r="N300" s="101" t="s">
        <v>222</v>
      </c>
      <c r="O300" s="2590"/>
      <c r="P300" s="2588"/>
      <c r="Q300" s="227"/>
      <c r="R300" s="1403"/>
      <c r="S300" s="1403"/>
      <c r="T300" s="1403"/>
      <c r="U300" s="1403"/>
    </row>
    <row r="301" spans="1:24" s="228" customFormat="1" ht="10.5" customHeight="1">
      <c r="A301" s="1192"/>
      <c r="B301" s="244" t="s">
        <v>226</v>
      </c>
      <c r="C301" s="517" t="s">
        <v>2947</v>
      </c>
      <c r="D301" s="2574"/>
      <c r="E301" s="2574"/>
      <c r="F301" s="2574"/>
      <c r="G301" s="2574"/>
      <c r="H301" s="2574"/>
      <c r="I301" s="2574"/>
      <c r="J301" s="2574"/>
      <c r="K301" s="2574"/>
      <c r="L301" s="2574"/>
      <c r="M301" s="2574"/>
      <c r="N301" s="101" t="s">
        <v>226</v>
      </c>
      <c r="O301" s="2574"/>
      <c r="P301" s="2574"/>
      <c r="Q301" s="227"/>
      <c r="R301" s="1403"/>
      <c r="S301" s="1403"/>
      <c r="T301" s="1403"/>
      <c r="U301" s="1403"/>
    </row>
    <row r="302" spans="1:24" s="19" customFormat="1" ht="11.25" customHeight="1">
      <c r="A302" s="79"/>
      <c r="B302" s="84" t="s">
        <v>2467</v>
      </c>
      <c r="C302" s="13" t="s">
        <v>2948</v>
      </c>
      <c r="D302" s="663"/>
      <c r="E302" s="42"/>
      <c r="F302" s="42"/>
      <c r="G302" s="42"/>
      <c r="H302" s="21"/>
      <c r="I302" s="23"/>
      <c r="M302" s="2538"/>
      <c r="N302" s="84" t="s">
        <v>2467</v>
      </c>
      <c r="O302" s="937"/>
      <c r="P302" s="938"/>
      <c r="Q302" s="53"/>
      <c r="R302" s="662"/>
      <c r="S302" s="662"/>
      <c r="T302" s="662"/>
      <c r="U302" s="662"/>
    </row>
    <row r="303" spans="1:24" s="19" customFormat="1" ht="11.25" customHeight="1">
      <c r="A303" s="79"/>
      <c r="B303" s="28" t="s">
        <v>2469</v>
      </c>
      <c r="C303" s="13" t="s">
        <v>2949</v>
      </c>
      <c r="D303" s="663"/>
      <c r="E303" s="42"/>
      <c r="F303" s="42"/>
      <c r="G303" s="42"/>
      <c r="H303" s="21"/>
      <c r="I303" s="23"/>
      <c r="J303" s="48"/>
      <c r="K303" s="48"/>
      <c r="L303" s="42"/>
      <c r="M303" s="42"/>
      <c r="N303" s="28" t="s">
        <v>2469</v>
      </c>
      <c r="O303" s="202"/>
      <c r="P303" s="307"/>
      <c r="Q303" s="53"/>
      <c r="R303" s="662"/>
      <c r="S303" s="662"/>
      <c r="T303" s="662"/>
      <c r="U303" s="662"/>
    </row>
    <row r="304" spans="1:24" s="228" customFormat="1" ht="21.75" customHeight="1">
      <c r="A304" s="1192"/>
      <c r="B304" s="244" t="s">
        <v>266</v>
      </c>
      <c r="C304" s="3637" t="s">
        <v>2950</v>
      </c>
      <c r="D304" s="3637"/>
      <c r="E304" s="3637"/>
      <c r="F304" s="3637"/>
      <c r="G304" s="3637"/>
      <c r="H304" s="3637"/>
      <c r="I304" s="3637"/>
      <c r="J304" s="3637"/>
      <c r="K304" s="3637"/>
      <c r="L304" s="3637"/>
      <c r="M304" s="3637"/>
      <c r="N304" s="101" t="s">
        <v>266</v>
      </c>
      <c r="O304" s="2590"/>
      <c r="P304" s="2588"/>
      <c r="Q304" s="227"/>
      <c r="R304" s="1403"/>
      <c r="S304" s="1403"/>
      <c r="T304" s="1403"/>
      <c r="U304" s="1403"/>
    </row>
    <row r="305" spans="1:22" s="19" customFormat="1" ht="10.5" customHeight="1" thickBot="1">
      <c r="A305" s="43"/>
      <c r="B305" s="700" t="s">
        <v>2832</v>
      </c>
      <c r="C305" s="43"/>
      <c r="D305" s="48"/>
      <c r="E305" s="48"/>
      <c r="F305" s="48"/>
      <c r="G305" s="48"/>
      <c r="H305" s="13"/>
      <c r="I305" s="13"/>
      <c r="J305" s="13"/>
      <c r="K305" s="13"/>
      <c r="M305" s="32"/>
      <c r="N305" s="58"/>
      <c r="O305" s="2"/>
      <c r="P305" s="2533"/>
      <c r="R305" s="1212"/>
      <c r="S305" s="1212"/>
      <c r="T305" s="1212"/>
      <c r="U305" s="1212"/>
      <c r="V305" s="1212"/>
    </row>
    <row r="306" spans="1:22" s="19" customFormat="1" ht="35.1" customHeight="1" thickTop="1" thickBot="1">
      <c r="A306" s="3819"/>
      <c r="B306" s="3820"/>
      <c r="C306" s="3820"/>
      <c r="D306" s="3820"/>
      <c r="E306" s="3820"/>
      <c r="F306" s="3820"/>
      <c r="G306" s="3820"/>
      <c r="H306" s="3820"/>
      <c r="I306" s="3820"/>
      <c r="J306" s="3820"/>
      <c r="K306" s="3820"/>
      <c r="L306" s="3820"/>
      <c r="M306" s="3820"/>
      <c r="N306" s="3820"/>
      <c r="O306" s="3820"/>
      <c r="P306" s="3821"/>
      <c r="Q306" s="249" t="s">
        <v>2400</v>
      </c>
    </row>
    <row r="307" spans="1:22" s="19" customFormat="1" ht="10.5" customHeight="1" thickTop="1">
      <c r="A307" s="43"/>
      <c r="B307" s="37" t="s">
        <v>1437</v>
      </c>
      <c r="C307" s="43"/>
      <c r="D307" s="37"/>
      <c r="E307" s="2574"/>
      <c r="F307" s="2574"/>
      <c r="G307" s="2574"/>
      <c r="H307" s="2574"/>
      <c r="I307" s="2574"/>
      <c r="J307" s="2574"/>
      <c r="K307" s="2574"/>
      <c r="L307" s="2574"/>
      <c r="M307" s="2574"/>
      <c r="N307" s="4679"/>
      <c r="O307" s="31"/>
      <c r="P307" s="2538"/>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1566</v>
      </c>
      <c r="B310" s="50" t="s">
        <v>2032</v>
      </c>
      <c r="D310" s="21"/>
      <c r="E310" s="21"/>
      <c r="G310" s="1207"/>
      <c r="H310" s="98"/>
      <c r="I310" s="98"/>
      <c r="J310" s="98"/>
      <c r="K310" s="98"/>
      <c r="L310" s="98"/>
      <c r="M310" s="2538">
        <v>2</v>
      </c>
      <c r="N310" s="32"/>
      <c r="O310" s="653">
        <f>IF(OR(O311=$M311,O312=$M312),$M$310,0)</f>
        <v>0</v>
      </c>
      <c r="P310" s="653">
        <f>IF(OR(P311=$M311,P312=$M312),$M$310,0)</f>
        <v>0</v>
      </c>
      <c r="Q310" s="53" t="s">
        <v>787</v>
      </c>
      <c r="R310" s="1212"/>
      <c r="S310" s="1212"/>
      <c r="T310" s="1212"/>
      <c r="U310" s="1212"/>
      <c r="V310" s="1212"/>
    </row>
    <row r="311" spans="1:22" ht="11.25" customHeight="1">
      <c r="A311" s="518" t="s">
        <v>199</v>
      </c>
      <c r="B311" s="667" t="s">
        <v>2033</v>
      </c>
      <c r="D311" s="266"/>
      <c r="E311" s="266" t="s">
        <v>2034</v>
      </c>
      <c r="F311" s="266"/>
      <c r="G311" s="266"/>
      <c r="H311" s="266"/>
      <c r="I311" s="3841"/>
      <c r="J311" s="3842"/>
      <c r="K311" s="3842"/>
      <c r="L311" s="3843"/>
      <c r="M311" s="2604">
        <v>2</v>
      </c>
      <c r="N311" s="28" t="s">
        <v>199</v>
      </c>
      <c r="O311" s="969"/>
      <c r="P311" s="970"/>
      <c r="Q311" s="1404" t="str">
        <f>IF(OR(O311=0,O311="",O311=$M311),"","Check!")</f>
        <v/>
      </c>
      <c r="R311" s="652" t="s">
        <v>2888</v>
      </c>
      <c r="S311" s="1212"/>
      <c r="T311" s="1212"/>
      <c r="U311" s="1212"/>
      <c r="V311" s="1212"/>
    </row>
    <row r="312" spans="1:22" ht="11.25" customHeight="1">
      <c r="A312" s="518" t="s">
        <v>211</v>
      </c>
      <c r="B312" s="667" t="s">
        <v>2035</v>
      </c>
      <c r="D312" s="266"/>
      <c r="L312" s="266"/>
      <c r="M312" s="2604">
        <v>2</v>
      </c>
      <c r="N312" s="28" t="s">
        <v>211</v>
      </c>
      <c r="O312" s="298"/>
      <c r="P312" s="305"/>
      <c r="Q312" s="1404" t="str">
        <f>IF(OR(O312=0,O312="",O312=$M312),"","Check!")</f>
        <v/>
      </c>
      <c r="R312" s="652" t="s">
        <v>2888</v>
      </c>
      <c r="S312" s="1212"/>
      <c r="T312" s="1212"/>
      <c r="U312" s="1212"/>
      <c r="V312" s="1212"/>
    </row>
    <row r="313" spans="1:22" s="19" customFormat="1" ht="10.5" customHeight="1" thickBot="1">
      <c r="A313" s="43"/>
      <c r="B313" s="700" t="s">
        <v>2832</v>
      </c>
      <c r="C313" s="43"/>
      <c r="D313" s="48"/>
      <c r="E313" s="48"/>
      <c r="F313" s="48"/>
      <c r="G313" s="48"/>
      <c r="H313" s="13"/>
      <c r="I313" s="13"/>
      <c r="J313" s="13"/>
      <c r="K313" s="13"/>
      <c r="M313" s="32"/>
      <c r="N313" s="58"/>
      <c r="O313" s="2"/>
      <c r="P313" s="2533"/>
      <c r="R313" s="1212"/>
      <c r="S313" s="1212"/>
      <c r="T313" s="1212"/>
      <c r="U313" s="1212"/>
      <c r="V313" s="1212"/>
    </row>
    <row r="314" spans="1:22" s="19" customFormat="1" ht="35.1" customHeight="1" thickTop="1" thickBot="1">
      <c r="A314" s="3819"/>
      <c r="B314" s="3820"/>
      <c r="C314" s="3820"/>
      <c r="D314" s="3820"/>
      <c r="E314" s="3820"/>
      <c r="F314" s="3820"/>
      <c r="G314" s="3820"/>
      <c r="H314" s="3820"/>
      <c r="I314" s="3820"/>
      <c r="J314" s="3820"/>
      <c r="K314" s="3820"/>
      <c r="L314" s="3820"/>
      <c r="M314" s="3820"/>
      <c r="N314" s="3820"/>
      <c r="O314" s="3820"/>
      <c r="P314" s="3821"/>
      <c r="Q314" s="249" t="s">
        <v>2400</v>
      </c>
    </row>
    <row r="315" spans="1:22" s="19" customFormat="1" ht="10.5" customHeight="1" thickTop="1">
      <c r="A315" s="43"/>
      <c r="B315" s="37" t="s">
        <v>1437</v>
      </c>
      <c r="C315" s="43"/>
      <c r="D315" s="37"/>
      <c r="E315" s="2574"/>
      <c r="F315" s="2574"/>
      <c r="G315" s="2574"/>
      <c r="H315" s="2574"/>
      <c r="I315" s="2574"/>
      <c r="J315" s="2574"/>
      <c r="K315" s="2574"/>
      <c r="L315" s="2574"/>
      <c r="M315" s="2574"/>
      <c r="N315" s="4679"/>
      <c r="O315" s="31"/>
      <c r="P315" s="2538"/>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1577</v>
      </c>
      <c r="B318" s="50" t="s">
        <v>2951</v>
      </c>
      <c r="C318" s="39"/>
      <c r="D318" s="25"/>
      <c r="E318" s="13"/>
      <c r="G318" s="25"/>
      <c r="I318" s="1205" t="s">
        <v>2908</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787</v>
      </c>
    </row>
    <row r="319" spans="1:22" s="19" customFormat="1" ht="13.5" customHeight="1">
      <c r="A319" s="79"/>
      <c r="B319" s="13" t="s">
        <v>2952</v>
      </c>
      <c r="C319" s="2574"/>
      <c r="D319" s="2574"/>
      <c r="E319" s="2574"/>
      <c r="F319" s="2574"/>
      <c r="G319" s="2574"/>
      <c r="H319" s="2574"/>
      <c r="I319" s="2574"/>
      <c r="J319" s="2574"/>
      <c r="K319" s="2574"/>
      <c r="L319" s="870"/>
      <c r="M319" s="2538"/>
      <c r="N319" s="4679"/>
      <c r="O319" s="267"/>
      <c r="P319" s="787"/>
      <c r="Q319" s="53"/>
      <c r="T319" s="632"/>
      <c r="U319" s="632"/>
    </row>
    <row r="320" spans="1:22" s="19" customFormat="1" ht="12" customHeight="1">
      <c r="A320" s="518" t="s">
        <v>199</v>
      </c>
      <c r="B320" s="92" t="s">
        <v>2953</v>
      </c>
      <c r="C320" s="39"/>
      <c r="D320" s="25"/>
      <c r="E320" s="13"/>
      <c r="G320" s="1075"/>
      <c r="I320" s="16" t="s">
        <v>2954</v>
      </c>
      <c r="K320" s="1190">
        <f>'Part VIII Scoring Criteria OLD'!P42</f>
        <v>0</v>
      </c>
      <c r="M320" s="338">
        <v>2</v>
      </c>
      <c r="N320" s="28" t="s">
        <v>199</v>
      </c>
      <c r="P320" s="4694"/>
      <c r="Q320" s="53"/>
      <c r="R320" s="652" t="s">
        <v>2888</v>
      </c>
    </row>
    <row r="321" spans="1:19" s="42" customFormat="1" ht="10.5" customHeight="1">
      <c r="A321" s="518"/>
      <c r="B321" s="208" t="s">
        <v>214</v>
      </c>
      <c r="C321" s="13" t="s">
        <v>2955</v>
      </c>
      <c r="D321" s="11"/>
      <c r="N321" s="242" t="s">
        <v>2956</v>
      </c>
      <c r="O321" s="937"/>
      <c r="P321" s="938"/>
      <c r="R321" s="209"/>
    </row>
    <row r="322" spans="1:19" s="42" customFormat="1" ht="10.5" customHeight="1">
      <c r="A322" s="518"/>
      <c r="B322" s="208"/>
      <c r="C322" s="13" t="s">
        <v>2957</v>
      </c>
      <c r="D322" s="11"/>
      <c r="N322" s="242" t="s">
        <v>2958</v>
      </c>
      <c r="O322" s="202"/>
      <c r="P322" s="307"/>
      <c r="R322" s="209"/>
    </row>
    <row r="323" spans="1:19" s="42" customFormat="1" ht="10.5" customHeight="1">
      <c r="A323" s="518"/>
      <c r="B323" s="208" t="s">
        <v>222</v>
      </c>
      <c r="C323" s="13" t="s">
        <v>2959</v>
      </c>
      <c r="D323" s="11"/>
      <c r="N323" s="242" t="s">
        <v>222</v>
      </c>
      <c r="O323" s="202"/>
      <c r="P323" s="307"/>
      <c r="R323" s="209"/>
    </row>
    <row r="324" spans="1:19" s="42" customFormat="1" ht="10.5" customHeight="1">
      <c r="A324" s="518"/>
      <c r="B324" s="208" t="s">
        <v>226</v>
      </c>
      <c r="C324" s="13" t="s">
        <v>2960</v>
      </c>
      <c r="D324" s="11"/>
      <c r="N324" s="242" t="s">
        <v>226</v>
      </c>
      <c r="O324" s="202"/>
      <c r="P324" s="307"/>
      <c r="R324" s="209"/>
    </row>
    <row r="325" spans="1:19" s="42" customFormat="1" ht="10.5" customHeight="1">
      <c r="A325" s="698"/>
      <c r="B325" s="208" t="s">
        <v>266</v>
      </c>
      <c r="C325" s="13" t="s">
        <v>2961</v>
      </c>
      <c r="D325" s="11"/>
      <c r="N325" s="242" t="s">
        <v>266</v>
      </c>
      <c r="O325" s="118"/>
      <c r="P325" s="307"/>
      <c r="R325" s="209"/>
    </row>
    <row r="326" spans="1:19" s="19" customFormat="1" ht="12" customHeight="1">
      <c r="A326" s="518" t="s">
        <v>211</v>
      </c>
      <c r="B326" s="92" t="s">
        <v>2962</v>
      </c>
      <c r="C326" s="39"/>
      <c r="D326" s="25"/>
      <c r="E326" s="13"/>
      <c r="G326" s="1075"/>
      <c r="I326" s="274"/>
      <c r="L326" s="2577"/>
      <c r="M326" s="338">
        <v>2</v>
      </c>
      <c r="N326" s="28" t="s">
        <v>211</v>
      </c>
      <c r="P326" s="4694"/>
      <c r="Q326" s="53"/>
      <c r="R326" s="652" t="s">
        <v>2888</v>
      </c>
    </row>
    <row r="327" spans="1:19" s="42" customFormat="1" ht="10.5" customHeight="1">
      <c r="A327" s="80"/>
      <c r="B327" s="208" t="s">
        <v>214</v>
      </c>
      <c r="C327" s="13" t="s">
        <v>2955</v>
      </c>
      <c r="D327" s="13"/>
      <c r="E327" s="13"/>
      <c r="M327" s="2538"/>
      <c r="N327" s="242" t="s">
        <v>2956</v>
      </c>
      <c r="O327" s="937"/>
      <c r="P327" s="938"/>
      <c r="Q327" s="53"/>
    </row>
    <row r="328" spans="1:19" s="42" customFormat="1" ht="10.5" customHeight="1">
      <c r="A328" s="72"/>
      <c r="B328" s="208"/>
      <c r="C328" s="13" t="s">
        <v>2963</v>
      </c>
      <c r="D328" s="11"/>
      <c r="N328" s="242" t="s">
        <v>2958</v>
      </c>
      <c r="O328" s="202"/>
      <c r="P328" s="307"/>
      <c r="R328" s="209"/>
    </row>
    <row r="329" spans="1:19" s="42" customFormat="1" ht="10.5" customHeight="1">
      <c r="A329" s="72"/>
      <c r="B329" s="208" t="s">
        <v>222</v>
      </c>
      <c r="C329" s="13" t="s">
        <v>2964</v>
      </c>
      <c r="D329" s="11"/>
      <c r="N329" s="242" t="s">
        <v>222</v>
      </c>
      <c r="O329" s="202"/>
      <c r="P329" s="307"/>
      <c r="R329" s="209"/>
    </row>
    <row r="330" spans="1:19" s="42" customFormat="1" ht="10.5" customHeight="1">
      <c r="B330" s="208" t="s">
        <v>226</v>
      </c>
      <c r="C330" s="13" t="s">
        <v>2961</v>
      </c>
      <c r="D330" s="11"/>
      <c r="N330" s="242" t="s">
        <v>226</v>
      </c>
      <c r="O330" s="118"/>
      <c r="P330" s="308"/>
      <c r="R330" s="209"/>
    </row>
    <row r="331" spans="1:19" s="19" customFormat="1" ht="10.5" customHeight="1">
      <c r="B331" s="37" t="s">
        <v>1437</v>
      </c>
      <c r="C331" s="756"/>
      <c r="D331" s="37"/>
      <c r="E331" s="46"/>
      <c r="F331" s="2574"/>
      <c r="G331" s="2574"/>
      <c r="H331" s="2574"/>
      <c r="I331" s="2574"/>
      <c r="J331" s="2574"/>
      <c r="K331" s="2574"/>
      <c r="L331" s="2574"/>
      <c r="M331" s="2574"/>
      <c r="N331" s="4679"/>
      <c r="O331" s="31"/>
      <c r="P331" s="2538"/>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3"/>
      <c r="P333" s="2533"/>
    </row>
    <row r="334" spans="1:19" s="19" customFormat="1" ht="13.5" customHeight="1" thickBot="1">
      <c r="A334" s="80" t="s">
        <v>1590</v>
      </c>
      <c r="B334" s="50" t="s">
        <v>2037</v>
      </c>
      <c r="D334" s="39"/>
      <c r="E334" s="39"/>
      <c r="G334" s="13"/>
      <c r="M334" s="2538">
        <v>2</v>
      </c>
      <c r="N334" s="221"/>
      <c r="O334" s="671"/>
      <c r="P334" s="665"/>
      <c r="Q334" s="53" t="s">
        <v>787</v>
      </c>
      <c r="R334" s="1226" t="s">
        <v>2820</v>
      </c>
      <c r="S334" s="1226"/>
    </row>
    <row r="335" spans="1:19" s="19" customFormat="1" ht="11.25" customHeight="1">
      <c r="A335" s="72"/>
      <c r="B335" s="56" t="s">
        <v>2038</v>
      </c>
      <c r="D335" s="39"/>
      <c r="E335" s="39"/>
      <c r="G335" s="13"/>
      <c r="I335" s="3041" t="s">
        <v>2039</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2832</v>
      </c>
      <c r="C337" s="43"/>
      <c r="D337" s="48"/>
      <c r="E337" s="48"/>
      <c r="F337" s="48"/>
      <c r="G337" s="48"/>
      <c r="H337" s="13"/>
      <c r="I337" s="13"/>
      <c r="J337" s="13"/>
      <c r="K337" s="13"/>
      <c r="M337" s="32"/>
      <c r="N337" s="32"/>
      <c r="O337" s="2"/>
      <c r="P337" s="2538"/>
    </row>
    <row r="338" spans="1:20" s="19" customFormat="1" ht="11.1" customHeight="1" thickTop="1" thickBot="1">
      <c r="A338" s="3819"/>
      <c r="B338" s="3820"/>
      <c r="C338" s="3820"/>
      <c r="D338" s="3820"/>
      <c r="E338" s="3820"/>
      <c r="F338" s="3820"/>
      <c r="G338" s="3820"/>
      <c r="H338" s="3820"/>
      <c r="I338" s="3820"/>
      <c r="J338" s="3820"/>
      <c r="K338" s="3820"/>
      <c r="L338" s="3820"/>
      <c r="M338" s="3820"/>
      <c r="N338" s="3820"/>
      <c r="O338" s="3820"/>
      <c r="P338" s="3821"/>
      <c r="Q338" s="249" t="s">
        <v>2400</v>
      </c>
    </row>
    <row r="339" spans="1:20" s="42" customFormat="1" ht="10.5" customHeight="1" thickTop="1">
      <c r="A339" s="43"/>
      <c r="B339" s="45" t="s">
        <v>1437</v>
      </c>
      <c r="C339" s="43"/>
      <c r="D339" s="45"/>
      <c r="E339" s="2586"/>
      <c r="F339" s="2586"/>
      <c r="G339" s="2586"/>
      <c r="H339" s="2586"/>
      <c r="I339" s="2586"/>
      <c r="J339" s="2586"/>
      <c r="K339" s="2586"/>
      <c r="L339" s="2586"/>
      <c r="M339" s="2586"/>
      <c r="N339" s="4691"/>
      <c r="O339" s="510"/>
      <c r="P339" s="2538"/>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3"/>
      <c r="P341" s="2533"/>
    </row>
    <row r="342" spans="1:20" s="19" customFormat="1" ht="13.5" customHeight="1" thickBot="1">
      <c r="A342" s="79" t="s">
        <v>1595</v>
      </c>
      <c r="B342" s="50" t="s">
        <v>1785</v>
      </c>
      <c r="D342" s="39"/>
      <c r="E342" s="39"/>
      <c r="F342" s="13"/>
      <c r="G342" s="13"/>
      <c r="H342" s="13"/>
      <c r="J342" s="1524" t="s">
        <v>2098</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787</v>
      </c>
    </row>
    <row r="343" spans="1:20" s="19" customFormat="1" ht="10.5" customHeight="1">
      <c r="A343" s="43"/>
      <c r="B343" s="56" t="s">
        <v>2965</v>
      </c>
      <c r="E343" s="39"/>
      <c r="F343" s="13"/>
      <c r="G343" s="13"/>
      <c r="H343" s="13"/>
      <c r="I343" s="13"/>
      <c r="K343" s="2585"/>
      <c r="L343" s="26"/>
      <c r="O343" s="2585" t="s">
        <v>259</v>
      </c>
      <c r="P343" s="2585" t="s">
        <v>259</v>
      </c>
    </row>
    <row r="344" spans="1:20" s="47" customFormat="1" ht="12.75" customHeight="1">
      <c r="A344" s="25"/>
      <c r="B344" s="28" t="s">
        <v>2467</v>
      </c>
      <c r="C344" s="13" t="s">
        <v>2966</v>
      </c>
      <c r="D344" s="25"/>
      <c r="E344" s="39"/>
      <c r="F344" s="13"/>
      <c r="G344" s="13"/>
      <c r="H344" s="13"/>
      <c r="I344" s="13"/>
      <c r="J344" s="19"/>
      <c r="K344" s="2585"/>
      <c r="L344" s="3959" t="str">
        <f>IF(OR(O344="No",O344="",O345="No",O345="",O346="No",O346="",O347="No",O347=""),"Unmet criterion results in no points!","")</f>
        <v>Unmet criterion results in no points!</v>
      </c>
      <c r="M344" s="3959"/>
      <c r="N344" s="28" t="s">
        <v>2467</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2469</v>
      </c>
      <c r="C345" s="13" t="s">
        <v>2967</v>
      </c>
      <c r="D345" s="25"/>
      <c r="E345" s="25"/>
      <c r="F345" s="25"/>
      <c r="G345" s="25"/>
      <c r="H345" s="25"/>
      <c r="I345" s="25"/>
      <c r="J345" s="25"/>
      <c r="K345" s="25"/>
      <c r="L345" s="3959"/>
      <c r="M345" s="3959"/>
      <c r="N345" s="28" t="s">
        <v>2469</v>
      </c>
      <c r="O345" s="202"/>
      <c r="P345" s="307"/>
      <c r="Q345" s="25"/>
      <c r="R345" s="3955"/>
      <c r="S345" s="3955"/>
      <c r="T345" s="25"/>
    </row>
    <row r="346" spans="1:20" s="47" customFormat="1" ht="12.75" customHeight="1">
      <c r="A346" s="25"/>
      <c r="B346" s="28" t="s">
        <v>2677</v>
      </c>
      <c r="C346" s="13" t="s">
        <v>2968</v>
      </c>
      <c r="D346" s="25"/>
      <c r="E346" s="25"/>
      <c r="F346" s="25"/>
      <c r="G346" s="25"/>
      <c r="H346" s="25"/>
      <c r="I346" s="25"/>
      <c r="J346" s="25"/>
      <c r="K346" s="25"/>
      <c r="L346" s="3959"/>
      <c r="M346" s="3959"/>
      <c r="N346" s="28" t="s">
        <v>2677</v>
      </c>
      <c r="O346" s="202"/>
      <c r="P346" s="307"/>
      <c r="Q346" s="25"/>
      <c r="R346" s="3955"/>
      <c r="S346" s="3955"/>
      <c r="T346" s="25"/>
    </row>
    <row r="347" spans="1:20" s="47" customFormat="1" ht="33.75" customHeight="1">
      <c r="A347" s="25"/>
      <c r="B347" s="84" t="s">
        <v>2878</v>
      </c>
      <c r="C347" s="3637" t="s">
        <v>2969</v>
      </c>
      <c r="D347" s="3637"/>
      <c r="E347" s="3637"/>
      <c r="F347" s="3637"/>
      <c r="G347" s="3637"/>
      <c r="H347" s="3637"/>
      <c r="I347" s="3637"/>
      <c r="J347" s="3637"/>
      <c r="K347" s="3637"/>
      <c r="L347" s="3637"/>
      <c r="M347" s="3637"/>
      <c r="N347" s="84" t="s">
        <v>2878</v>
      </c>
      <c r="O347" s="2590"/>
      <c r="P347" s="2588"/>
      <c r="Q347" s="25"/>
      <c r="R347" s="25"/>
      <c r="S347" s="25"/>
      <c r="T347" s="25"/>
    </row>
    <row r="348" spans="1:20" ht="3" customHeight="1" thickBot="1">
      <c r="C348" s="3637"/>
      <c r="D348" s="3637"/>
      <c r="E348" s="3637"/>
      <c r="F348" s="3637"/>
      <c r="G348" s="3637"/>
      <c r="H348" s="3637"/>
      <c r="I348" s="3637"/>
      <c r="J348" s="3637"/>
      <c r="K348" s="3637"/>
      <c r="L348" s="3637"/>
      <c r="M348" s="3637"/>
      <c r="N348" s="58"/>
      <c r="O348" s="2533"/>
      <c r="P348" s="2533"/>
    </row>
    <row r="349" spans="1:20" ht="12.75" customHeight="1" thickBot="1">
      <c r="A349" s="612" t="s">
        <v>199</v>
      </c>
      <c r="B349" s="92" t="s">
        <v>1786</v>
      </c>
      <c r="L349" s="209" t="str">
        <f>IF(O349&lt;=M349,"","* * Check Score! * *")</f>
        <v/>
      </c>
      <c r="M349" s="338">
        <v>3</v>
      </c>
      <c r="N349" s="28" t="s">
        <v>199</v>
      </c>
      <c r="O349" s="1208"/>
      <c r="P349" s="1209"/>
      <c r="Q349" s="609" t="str">
        <f>IF(O349&lt;=M349,"","*CHECK!*")</f>
        <v/>
      </c>
      <c r="R349" s="285" t="s">
        <v>2820</v>
      </c>
      <c r="S349" s="285"/>
      <c r="T349" s="1057"/>
    </row>
    <row r="350" spans="1:20" ht="12.75" customHeight="1">
      <c r="A350" s="612"/>
      <c r="B350" s="517" t="s">
        <v>2970</v>
      </c>
      <c r="C350" s="73"/>
      <c r="D350" s="73"/>
      <c r="E350" s="73"/>
      <c r="F350" s="73"/>
      <c r="G350" s="73"/>
      <c r="H350" s="73"/>
      <c r="I350" s="73"/>
      <c r="N350"/>
      <c r="O350" s="1034"/>
      <c r="P350" s="1033"/>
      <c r="R350" s="285"/>
      <c r="S350" s="285"/>
      <c r="T350" s="1057"/>
    </row>
    <row r="351" spans="1:20" ht="12.75" customHeight="1">
      <c r="A351" s="612"/>
      <c r="B351" s="1498" t="s">
        <v>2971</v>
      </c>
      <c r="C351" s="73"/>
      <c r="D351" s="73"/>
      <c r="E351" s="73"/>
      <c r="F351" s="73"/>
      <c r="G351" s="73"/>
      <c r="H351" s="73"/>
      <c r="I351" s="73"/>
      <c r="J351" s="3914" t="s">
        <v>1788</v>
      </c>
      <c r="K351" s="3914"/>
      <c r="M351" s="3914" t="s">
        <v>1788</v>
      </c>
      <c r="N351" s="3914"/>
      <c r="O351" s="3914"/>
      <c r="P351" s="3914"/>
      <c r="R351" s="1399"/>
      <c r="S351" s="1399"/>
      <c r="T351" s="1057"/>
    </row>
    <row r="352" spans="1:20" s="19" customFormat="1" ht="12.75" customHeight="1">
      <c r="A352" s="102"/>
      <c r="B352" s="101" t="s">
        <v>2972</v>
      </c>
      <c r="C352" s="13" t="s">
        <v>1789</v>
      </c>
      <c r="I352" s="28" t="s">
        <v>2467</v>
      </c>
      <c r="J352" s="4695"/>
      <c r="K352" s="4696"/>
      <c r="L352" s="28" t="s">
        <v>2467</v>
      </c>
      <c r="M352" s="4697"/>
      <c r="N352" s="4698"/>
      <c r="O352" s="4698"/>
      <c r="P352" s="4699"/>
      <c r="R352" s="209"/>
    </row>
    <row r="353" spans="1:18" ht="12.75" customHeight="1">
      <c r="A353" s="103"/>
      <c r="B353" s="84" t="s">
        <v>2469</v>
      </c>
      <c r="C353" s="13" t="s">
        <v>1790</v>
      </c>
      <c r="I353" s="84" t="s">
        <v>2469</v>
      </c>
      <c r="J353" s="3909"/>
      <c r="K353" s="3910"/>
      <c r="L353" s="84" t="s">
        <v>2469</v>
      </c>
      <c r="M353" s="3911"/>
      <c r="N353" s="3912"/>
      <c r="O353" s="3912"/>
      <c r="P353" s="3913"/>
      <c r="R353" s="209"/>
    </row>
    <row r="354" spans="1:18" ht="12.75" customHeight="1">
      <c r="B354" s="28" t="s">
        <v>2677</v>
      </c>
      <c r="C354" s="13" t="s">
        <v>1791</v>
      </c>
      <c r="I354" s="28" t="s">
        <v>2677</v>
      </c>
      <c r="J354" s="3909"/>
      <c r="K354" s="3910"/>
      <c r="L354" s="28" t="s">
        <v>2677</v>
      </c>
      <c r="M354" s="3911"/>
      <c r="N354" s="3912"/>
      <c r="O354" s="3912"/>
      <c r="P354" s="3913"/>
      <c r="R354" s="209"/>
    </row>
    <row r="355" spans="1:18" ht="12.75" customHeight="1">
      <c r="A355" s="103"/>
      <c r="B355" s="28" t="s">
        <v>2878</v>
      </c>
      <c r="C355" s="13" t="s">
        <v>1793</v>
      </c>
      <c r="I355" s="28" t="s">
        <v>2878</v>
      </c>
      <c r="J355" s="3909"/>
      <c r="K355" s="3910"/>
      <c r="L355" s="28" t="s">
        <v>2878</v>
      </c>
      <c r="M355" s="3911"/>
      <c r="N355" s="3912"/>
      <c r="O355" s="3912"/>
      <c r="P355" s="3913"/>
      <c r="R355" s="209"/>
    </row>
    <row r="356" spans="1:18" s="19" customFormat="1" ht="12.75" customHeight="1">
      <c r="A356" s="102"/>
      <c r="B356" s="84" t="s">
        <v>2690</v>
      </c>
      <c r="C356" s="13" t="s">
        <v>1794</v>
      </c>
      <c r="I356" s="84" t="s">
        <v>2690</v>
      </c>
      <c r="J356" s="3909"/>
      <c r="K356" s="3910"/>
      <c r="L356" s="84" t="s">
        <v>2690</v>
      </c>
      <c r="M356" s="3911"/>
      <c r="N356" s="3912"/>
      <c r="O356" s="3912"/>
      <c r="P356" s="3913"/>
      <c r="R356" s="209"/>
    </row>
    <row r="357" spans="1:18" ht="12.75" customHeight="1">
      <c r="B357" s="28" t="s">
        <v>2693</v>
      </c>
      <c r="C357" s="13" t="s">
        <v>1795</v>
      </c>
      <c r="I357" s="28" t="s">
        <v>2693</v>
      </c>
      <c r="J357" s="3909"/>
      <c r="K357" s="3910"/>
      <c r="L357" s="28" t="s">
        <v>2693</v>
      </c>
      <c r="M357" s="3911"/>
      <c r="N357" s="3912"/>
      <c r="O357" s="3912"/>
      <c r="P357" s="3913"/>
      <c r="R357" s="209"/>
    </row>
    <row r="358" spans="1:18" ht="12.75" customHeight="1">
      <c r="B358" s="28" t="s">
        <v>2973</v>
      </c>
      <c r="C358" s="13" t="s">
        <v>1796</v>
      </c>
      <c r="I358" s="28" t="s">
        <v>2973</v>
      </c>
      <c r="J358" s="3909"/>
      <c r="K358" s="3910"/>
      <c r="L358" s="28" t="s">
        <v>2973</v>
      </c>
      <c r="M358" s="2598"/>
      <c r="N358" s="2599"/>
      <c r="O358" s="2599"/>
      <c r="P358" s="2600"/>
      <c r="R358" s="209"/>
    </row>
    <row r="359" spans="1:18" ht="12.75" customHeight="1">
      <c r="A359" s="103"/>
      <c r="B359" s="28" t="s">
        <v>2974</v>
      </c>
      <c r="C359" s="13" t="s">
        <v>1797</v>
      </c>
      <c r="I359" s="28" t="s">
        <v>2974</v>
      </c>
      <c r="J359" s="3909"/>
      <c r="K359" s="3910"/>
      <c r="L359" s="28" t="s">
        <v>2974</v>
      </c>
      <c r="M359" s="3911"/>
      <c r="N359" s="3912"/>
      <c r="O359" s="3912"/>
      <c r="P359" s="3913"/>
      <c r="R359" s="209"/>
    </row>
    <row r="360" spans="1:18" ht="12.75" customHeight="1">
      <c r="B360" s="28" t="s">
        <v>2697</v>
      </c>
      <c r="C360" s="13" t="s">
        <v>2975</v>
      </c>
      <c r="I360" s="28" t="s">
        <v>2697</v>
      </c>
      <c r="J360" s="3909"/>
      <c r="K360" s="3910"/>
      <c r="L360" s="28" t="s">
        <v>2697</v>
      </c>
      <c r="M360" s="3911"/>
      <c r="N360" s="3912"/>
      <c r="O360" s="3912"/>
      <c r="P360" s="3913"/>
      <c r="R360" s="209"/>
    </row>
    <row r="361" spans="1:18" ht="12.75" customHeight="1">
      <c r="B361" s="28" t="s">
        <v>2976</v>
      </c>
      <c r="C361" s="13" t="s">
        <v>2977</v>
      </c>
      <c r="I361" s="28" t="s">
        <v>2976</v>
      </c>
      <c r="J361" s="3909"/>
      <c r="K361" s="3910"/>
      <c r="L361" s="28" t="s">
        <v>2976</v>
      </c>
      <c r="M361" s="3911"/>
      <c r="N361" s="3912"/>
      <c r="O361" s="3912"/>
      <c r="P361" s="3913"/>
      <c r="R361" s="209"/>
    </row>
    <row r="362" spans="1:18" ht="12.75" customHeight="1" thickBot="1">
      <c r="B362" s="28" t="s">
        <v>2978</v>
      </c>
      <c r="C362" s="13" t="s">
        <v>2979</v>
      </c>
      <c r="I362" s="28" t="s">
        <v>2978</v>
      </c>
      <c r="J362" s="3909"/>
      <c r="K362" s="3910"/>
      <c r="L362" s="28" t="s">
        <v>2978</v>
      </c>
      <c r="M362" s="3989"/>
      <c r="N362" s="3990"/>
      <c r="O362" s="3990"/>
      <c r="P362" s="3991"/>
      <c r="R362" s="209"/>
    </row>
    <row r="363" spans="1:18" ht="12.75" customHeight="1" thickBot="1">
      <c r="B363" s="685" t="s">
        <v>2980</v>
      </c>
      <c r="H363" s="56" t="s">
        <v>1804</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222</v>
      </c>
      <c r="C365" s="292" t="s">
        <v>1807</v>
      </c>
      <c r="D365" s="142"/>
      <c r="E365" s="142"/>
      <c r="F365" s="16" t="s">
        <v>1808</v>
      </c>
      <c r="H365"/>
      <c r="I365"/>
      <c r="J365" s="4700" t="e">
        <f>#REF!</f>
        <v>#REF!</v>
      </c>
      <c r="K365" s="4701"/>
      <c r="L365" s="313"/>
      <c r="M365" s="285"/>
      <c r="N365" s="285"/>
      <c r="O365" s="664"/>
      <c r="P365" s="285"/>
    </row>
    <row r="366" spans="1:18" ht="13.5" customHeight="1">
      <c r="C366" s="142"/>
      <c r="D366" s="142"/>
      <c r="E366" s="142"/>
      <c r="F366" s="243" t="s">
        <v>1810</v>
      </c>
      <c r="J366" s="4003" t="e">
        <f>IF(J365=0,0,J363/J365)</f>
        <v>#REF!</v>
      </c>
      <c r="K366" s="4004"/>
      <c r="M366" s="3906" t="e">
        <f>IF($J365=0,0,$M363/$J365)</f>
        <v>#REF!</v>
      </c>
      <c r="N366" s="3907"/>
      <c r="O366" s="3907"/>
      <c r="P366" s="3908"/>
    </row>
    <row r="367" spans="1:18" s="19" customFormat="1" ht="12.75" customHeight="1">
      <c r="C367" s="142"/>
      <c r="D367" s="142"/>
      <c r="E367" s="142"/>
      <c r="F367" s="25" t="s">
        <v>1814</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3"/>
      <c r="P368" s="2533"/>
    </row>
    <row r="369" spans="1:22" s="42" customFormat="1" ht="12.75" customHeight="1" thickBot="1">
      <c r="A369" s="518" t="s">
        <v>211</v>
      </c>
      <c r="B369" s="104" t="s">
        <v>1821</v>
      </c>
      <c r="D369" s="13"/>
      <c r="E369" s="13"/>
      <c r="F369" s="2538"/>
      <c r="H369" s="13"/>
      <c r="I369" s="2538"/>
      <c r="J369" s="16"/>
      <c r="K369" s="16"/>
      <c r="L369" s="209" t="str">
        <f>IF(OR($O369=$M369,$O369=0,$O369=""),"","* * Check Score! * *")</f>
        <v/>
      </c>
      <c r="M369" s="338">
        <v>1</v>
      </c>
      <c r="N369" s="28" t="s">
        <v>211</v>
      </c>
      <c r="O369" s="671"/>
      <c r="P369" s="665"/>
      <c r="Q369" s="607" t="s">
        <v>2820</v>
      </c>
      <c r="V369" s="632"/>
    </row>
    <row r="370" spans="1:22" s="19" customFormat="1" ht="22.5" customHeight="1">
      <c r="A370" s="72"/>
      <c r="B370" s="244" t="s">
        <v>214</v>
      </c>
      <c r="C370" s="3637" t="s">
        <v>2981</v>
      </c>
      <c r="D370" s="3637"/>
      <c r="E370" s="3637"/>
      <c r="F370" s="3637"/>
      <c r="G370" s="3637"/>
      <c r="H370" s="3637"/>
      <c r="I370" s="3637"/>
      <c r="J370" s="3637"/>
      <c r="K370" s="3637"/>
      <c r="L370" s="3637"/>
      <c r="M370" s="3637"/>
      <c r="N370" s="268" t="s">
        <v>214</v>
      </c>
      <c r="O370" s="2584"/>
      <c r="P370" s="2582"/>
      <c r="V370" s="632"/>
    </row>
    <row r="371" spans="1:22" s="19" customFormat="1" ht="12.75" customHeight="1">
      <c r="A371" s="72"/>
      <c r="B371" s="208" t="s">
        <v>222</v>
      </c>
      <c r="C371" s="13" t="s">
        <v>2982</v>
      </c>
      <c r="D371" s="13"/>
      <c r="E371" s="13"/>
      <c r="F371" s="13"/>
      <c r="G371" s="13"/>
      <c r="H371" s="13"/>
      <c r="I371" s="13"/>
      <c r="J371" s="13"/>
      <c r="K371" s="13"/>
      <c r="M371" s="13"/>
      <c r="N371" s="242" t="s">
        <v>222</v>
      </c>
      <c r="O371" s="202"/>
      <c r="P371" s="307"/>
      <c r="V371" s="632"/>
    </row>
    <row r="372" spans="1:22" ht="12.75" customHeight="1">
      <c r="B372" s="208" t="s">
        <v>226</v>
      </c>
      <c r="C372" s="25" t="s">
        <v>2983</v>
      </c>
      <c r="N372" s="242" t="s">
        <v>226</v>
      </c>
      <c r="O372" s="118"/>
      <c r="P372" s="308"/>
    </row>
    <row r="373" spans="1:22" ht="12" customHeight="1" thickBot="1">
      <c r="B373" s="700" t="s">
        <v>2832</v>
      </c>
      <c r="N373" s="58"/>
      <c r="O373" s="2533"/>
      <c r="P373" s="2533"/>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2400</v>
      </c>
    </row>
    <row r="375" spans="1:22" s="42" customFormat="1" ht="11.25" customHeight="1" thickTop="1">
      <c r="A375" s="43"/>
      <c r="B375" s="287" t="s">
        <v>1437</v>
      </c>
      <c r="C375" s="756"/>
      <c r="D375" s="45"/>
      <c r="E375" s="2601"/>
      <c r="F375" s="2586"/>
      <c r="G375" s="2586"/>
      <c r="H375" s="2586"/>
      <c r="I375" s="2586"/>
      <c r="J375" s="2586"/>
      <c r="K375" s="2586"/>
      <c r="L375" s="2586"/>
      <c r="M375" s="2586"/>
      <c r="N375" s="4691"/>
      <c r="O375" s="510"/>
      <c r="P375" s="2538"/>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4"/>
      <c r="D377" s="2574"/>
      <c r="E377" s="2574"/>
      <c r="F377" s="2574"/>
      <c r="G377" s="2574"/>
      <c r="H377" s="2574"/>
      <c r="I377" s="2574"/>
      <c r="J377" s="2574"/>
      <c r="K377" s="2574"/>
      <c r="L377" s="2574"/>
      <c r="M377" s="2574"/>
      <c r="N377" s="4679"/>
      <c r="O377" s="31"/>
      <c r="P377" s="2538"/>
    </row>
    <row r="378" spans="1:22" s="19" customFormat="1" ht="13.5" customHeight="1" thickBot="1">
      <c r="A378" s="79" t="s">
        <v>1601</v>
      </c>
      <c r="B378" s="50" t="s">
        <v>2026</v>
      </c>
      <c r="D378" s="16"/>
      <c r="G378" s="27" t="s">
        <v>2984</v>
      </c>
      <c r="I378" s="1143" t="s">
        <v>2908</v>
      </c>
      <c r="J378" s="1142" t="e">
        <f>IF(OR($M$34="9% Credit Competitive Round only", $M$34="9% Credit &amp; HOME"),"9%",IF(OR($M$34="4% Credit/TE Bond", $M$34="4% Credit/TE Bond &amp; HOME", $M$34="4% Credit/TE Bond &amp; HOME NOFA", $M$34="4% Credit &amp; NHTF", $M$34="4% Credit &amp; NHTF &amp; HOME"),"4%",""))</f>
        <v>#REF!</v>
      </c>
      <c r="K378" s="1143" t="s">
        <v>821</v>
      </c>
      <c r="L378" s="1142" t="str">
        <f>M55</f>
        <v>&lt;&lt; Select Activity Type &gt;&gt;</v>
      </c>
      <c r="M378" s="2538">
        <v>2</v>
      </c>
      <c r="N378" s="28"/>
      <c r="O378" s="653">
        <f>MIN($M378,O382+O389)</f>
        <v>0</v>
      </c>
      <c r="P378" s="670">
        <f>MIN($M378,P382+P389)</f>
        <v>0</v>
      </c>
      <c r="Q378" s="53" t="s">
        <v>787</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2027</v>
      </c>
      <c r="D380" s="3041" t="s">
        <v>2028</v>
      </c>
      <c r="E380" s="3042"/>
      <c r="F380" s="3042"/>
      <c r="G380" s="3042"/>
      <c r="H380" s="3042"/>
      <c r="I380" s="3043"/>
      <c r="J380" s="73" t="s">
        <v>2985</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199</v>
      </c>
      <c r="B382" s="38" t="s">
        <v>2029</v>
      </c>
      <c r="C382" s="73"/>
      <c r="D382" s="73"/>
      <c r="E382" s="73"/>
      <c r="F382" s="73"/>
      <c r="G382" s="73"/>
      <c r="H382" s="73"/>
      <c r="I382" s="73"/>
      <c r="M382" s="1411">
        <v>2</v>
      </c>
      <c r="N382" s="84" t="s">
        <v>199</v>
      </c>
      <c r="O382" s="339"/>
      <c r="P382" s="786"/>
      <c r="Q382" s="609" t="str">
        <f>IF(OR($O382=$M382,$O382=0,$O382=""),"","*CHECK!*")</f>
        <v/>
      </c>
      <c r="R382" s="607" t="s">
        <v>2820</v>
      </c>
    </row>
    <row r="383" spans="1:22" s="228" customFormat="1" ht="12" customHeight="1">
      <c r="A383" s="227"/>
      <c r="B383" s="3648" t="s">
        <v>2986</v>
      </c>
      <c r="C383" s="3648"/>
      <c r="D383" s="3648"/>
      <c r="E383" s="3648"/>
      <c r="F383" s="3648"/>
      <c r="G383" s="3648"/>
      <c r="H383" s="3648"/>
      <c r="I383" s="3648"/>
      <c r="J383" s="3648"/>
      <c r="K383" s="3648"/>
      <c r="L383" s="3648"/>
      <c r="M383" s="3988" t="s">
        <v>2987</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2988</v>
      </c>
      <c r="N385" s="4702"/>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2989</v>
      </c>
      <c r="N386" s="4702"/>
      <c r="O386" s="3986" t="e">
        <f>IF(O385=0,0,O384/O385)</f>
        <v>#REF!</v>
      </c>
      <c r="P386" s="3987"/>
      <c r="Q386" s="98"/>
    </row>
    <row r="387" spans="1:19" s="19" customFormat="1" ht="105.75" customHeight="1">
      <c r="A387" s="302"/>
      <c r="B387" s="3673" t="s">
        <v>2030</v>
      </c>
      <c r="C387" s="3674"/>
      <c r="D387" s="3674"/>
      <c r="E387" s="3674"/>
      <c r="F387" s="3674"/>
      <c r="G387" s="3674"/>
      <c r="H387" s="3674"/>
      <c r="I387" s="3674"/>
      <c r="J387" s="3674"/>
      <c r="K387" s="3674"/>
      <c r="L387" s="3674"/>
      <c r="M387" s="3674"/>
      <c r="N387" s="3674"/>
      <c r="O387" s="3674"/>
      <c r="P387" s="3675"/>
      <c r="Q387" s="248" t="s">
        <v>2400</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2990</v>
      </c>
      <c r="B389" s="65" t="s">
        <v>2031</v>
      </c>
      <c r="C389" s="73"/>
      <c r="H389" s="73"/>
      <c r="M389" s="4702">
        <v>2</v>
      </c>
      <c r="N389" s="84" t="s">
        <v>211</v>
      </c>
      <c r="O389" s="339"/>
      <c r="P389" s="786"/>
      <c r="Q389" s="609" t="str">
        <f>IF(OR($O389=$M389,$O389=0,$O389=""),"","*CHECK!*")</f>
        <v/>
      </c>
      <c r="R389" s="607" t="s">
        <v>2820</v>
      </c>
    </row>
    <row r="390" spans="1:19" s="228" customFormat="1" ht="11.25" customHeight="1">
      <c r="A390" s="303"/>
      <c r="B390" s="73" t="s">
        <v>2991</v>
      </c>
      <c r="C390" s="73"/>
      <c r="D390" s="73"/>
      <c r="E390" s="73"/>
      <c r="F390" s="73"/>
      <c r="G390" s="73"/>
      <c r="H390" s="73"/>
      <c r="I390" s="73"/>
      <c r="J390" s="73"/>
      <c r="K390" s="73"/>
      <c r="L390" s="73"/>
      <c r="Q390" s="98"/>
    </row>
    <row r="391" spans="1:19" s="228" customFormat="1" ht="11.25" customHeight="1">
      <c r="A391" s="303"/>
      <c r="E391" s="1405"/>
      <c r="G391" s="912" t="s">
        <v>2992</v>
      </c>
      <c r="H391" s="1407" t="e">
        <f>#REF!</f>
        <v>#REF!</v>
      </c>
      <c r="I391" s="708" t="s">
        <v>2988</v>
      </c>
      <c r="J391" s="301" t="e">
        <f>#REF!</f>
        <v>#REF!</v>
      </c>
      <c r="K391" s="1409" t="s">
        <v>2989</v>
      </c>
      <c r="L391" s="1408" t="e">
        <f>IF(J391=0,0,H391/J391)</f>
        <v>#REF!</v>
      </c>
      <c r="N391" s="1406"/>
      <c r="Q391" s="98"/>
    </row>
    <row r="392" spans="1:19" s="19" customFormat="1" ht="11.25" customHeight="1" thickBot="1">
      <c r="A392" s="43"/>
      <c r="B392" s="700" t="s">
        <v>2832</v>
      </c>
      <c r="C392" s="43"/>
      <c r="D392" s="48"/>
      <c r="E392" s="48"/>
      <c r="F392" s="48"/>
      <c r="G392" s="48"/>
      <c r="H392" s="13"/>
      <c r="I392" s="13"/>
      <c r="J392" s="13"/>
      <c r="K392" s="13"/>
      <c r="M392" s="32"/>
      <c r="N392" s="58"/>
      <c r="O392" s="2"/>
      <c r="P392" s="2533"/>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2400</v>
      </c>
      <c r="R393" s="249"/>
    </row>
    <row r="394" spans="1:19" s="19" customFormat="1" ht="10.5" customHeight="1" thickTop="1">
      <c r="B394" s="37" t="s">
        <v>1437</v>
      </c>
      <c r="C394" s="756"/>
      <c r="D394" s="37"/>
      <c r="E394" s="46"/>
      <c r="F394" s="2574"/>
      <c r="G394" s="2574"/>
      <c r="H394" s="2574"/>
      <c r="I394" s="2574"/>
      <c r="J394" s="2574"/>
      <c r="K394" s="2574"/>
      <c r="L394" s="2574"/>
      <c r="M394" s="2574"/>
      <c r="N394" s="4679"/>
      <c r="O394" s="31"/>
      <c r="P394" s="2538"/>
    </row>
    <row r="395" spans="1:19" s="19" customFormat="1" ht="22.3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4"/>
      <c r="D396" s="2574"/>
      <c r="E396" s="2574"/>
      <c r="F396" s="2574"/>
      <c r="G396" s="2574"/>
      <c r="H396" s="2574"/>
      <c r="I396" s="2574"/>
      <c r="J396" s="2574"/>
      <c r="K396" s="2574"/>
      <c r="L396" s="2574"/>
      <c r="M396" s="2574"/>
      <c r="N396" s="4679"/>
      <c r="O396" s="31"/>
      <c r="P396" s="2538"/>
    </row>
    <row r="397" spans="1:19" s="42" customFormat="1" ht="14.25" customHeight="1" thickBot="1">
      <c r="A397" s="80" t="s">
        <v>1608</v>
      </c>
      <c r="B397" s="50" t="s">
        <v>1824</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787</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1825</v>
      </c>
      <c r="D399" s="21"/>
      <c r="E399" s="21"/>
      <c r="F399" s="13"/>
      <c r="G399" s="13"/>
      <c r="I399" s="13"/>
      <c r="J399" s="13"/>
      <c r="K399" s="13"/>
      <c r="L399" s="209"/>
      <c r="M399" s="2538"/>
      <c r="N399" s="32"/>
      <c r="O399" s="1434">
        <v>10</v>
      </c>
      <c r="P399" s="1434">
        <v>10</v>
      </c>
      <c r="Q399" s="53"/>
    </row>
    <row r="400" spans="1:19" s="42" customFormat="1" ht="12.75" customHeight="1">
      <c r="A400" s="80"/>
      <c r="B400" s="38" t="s">
        <v>1843</v>
      </c>
      <c r="D400" s="21"/>
      <c r="E400" s="21"/>
      <c r="F400" s="13"/>
      <c r="G400" s="13"/>
      <c r="I400" s="13"/>
      <c r="J400" s="13"/>
      <c r="K400" s="13"/>
      <c r="L400" s="209"/>
      <c r="M400" s="2538"/>
      <c r="N400" s="32"/>
      <c r="O400" s="673"/>
      <c r="P400" s="2594"/>
      <c r="Q400" s="53"/>
    </row>
    <row r="401" spans="1:21" s="42" customFormat="1" ht="12.75" customHeight="1">
      <c r="A401" s="80"/>
      <c r="B401" s="38" t="s">
        <v>2993</v>
      </c>
      <c r="D401" s="21"/>
      <c r="E401" s="21"/>
      <c r="F401" s="13"/>
      <c r="G401" s="13"/>
      <c r="I401" s="13"/>
      <c r="J401" s="13"/>
      <c r="K401" s="13"/>
      <c r="L401" s="209"/>
      <c r="M401" s="2538"/>
      <c r="N401" s="32"/>
      <c r="O401" s="523"/>
      <c r="P401" s="305"/>
      <c r="Q401" s="53"/>
    </row>
    <row r="402" spans="1:21" s="42" customFormat="1" ht="12.75" customHeight="1">
      <c r="A402" s="23"/>
      <c r="B402" s="23" t="s">
        <v>1437</v>
      </c>
      <c r="C402" s="43"/>
      <c r="D402" s="23"/>
      <c r="E402" s="2586"/>
      <c r="F402" s="2586"/>
      <c r="G402" s="2586"/>
      <c r="H402" s="2586"/>
      <c r="I402" s="2586"/>
      <c r="J402" s="2586"/>
      <c r="K402" s="2586"/>
      <c r="L402" s="2586"/>
      <c r="M402" s="2586"/>
      <c r="N402" s="4691"/>
      <c r="O402" s="510"/>
      <c r="P402" s="2538"/>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2400</v>
      </c>
      <c r="R403" s="249"/>
    </row>
    <row r="404" spans="1:21" s="19" customFormat="1" ht="6" customHeight="1" thickBot="1">
      <c r="A404" s="80"/>
      <c r="B404" s="43"/>
      <c r="C404" s="2574"/>
      <c r="D404" s="2574"/>
      <c r="E404" s="2574"/>
      <c r="F404" s="2574"/>
      <c r="G404" s="2574"/>
      <c r="H404" s="2574"/>
      <c r="I404" s="2574"/>
      <c r="J404" s="2574"/>
      <c r="K404" s="2574"/>
      <c r="L404" s="2574"/>
      <c r="M404" s="2574"/>
      <c r="N404" s="4679"/>
      <c r="O404" s="31"/>
      <c r="P404" s="2538"/>
    </row>
    <row r="405" spans="1:21" s="19" customFormat="1" ht="13.5" customHeight="1" thickBot="1">
      <c r="A405" s="80" t="s">
        <v>1613</v>
      </c>
      <c r="B405" s="50" t="s">
        <v>1830</v>
      </c>
      <c r="C405" s="2574"/>
      <c r="D405" s="2574"/>
      <c r="E405" s="2574"/>
      <c r="F405" s="2574"/>
      <c r="G405" s="27"/>
      <c r="H405" s="2574"/>
      <c r="K405" s="2574"/>
      <c r="L405" s="2574"/>
      <c r="M405" s="2538">
        <v>3</v>
      </c>
      <c r="N405" s="4679"/>
      <c r="O405" s="653">
        <f>IF(OR((O407+O408+O409+O410)&gt;3,(O407+O408+O409)&gt;1,O410&gt;$M$410),"Check",IF((O407+O408+O409+O410)&lt;=$M$405,(O407+O408+O409+O410),""))</f>
        <v>2</v>
      </c>
      <c r="P405" s="653">
        <f>IF(OR((P407+P408+P409+P410)&gt;3,(P407+P408+P409)&gt;1,P410&gt;$M$410),"Check",IF((P407+P408+P409+P410)&lt;=$M$405,(P407+P408+P409+P410),""))</f>
        <v>2</v>
      </c>
      <c r="Q405" s="53" t="s">
        <v>787</v>
      </c>
      <c r="R405" s="607"/>
    </row>
    <row r="406" spans="1:21" s="19" customFormat="1" ht="9" customHeight="1">
      <c r="A406" s="80"/>
      <c r="B406" s="13" t="s">
        <v>2994</v>
      </c>
      <c r="C406" s="2574"/>
      <c r="D406" s="2574"/>
      <c r="E406" s="2574"/>
      <c r="F406" s="2574"/>
      <c r="G406" s="2574"/>
      <c r="H406" s="2574"/>
      <c r="I406" s="2574"/>
      <c r="J406" s="2574"/>
      <c r="K406" s="2574"/>
      <c r="L406" s="2574"/>
      <c r="M406" s="2574"/>
      <c r="N406" s="4679"/>
      <c r="O406" s="31"/>
      <c r="P406" s="2538"/>
    </row>
    <row r="407" spans="1:21" s="19" customFormat="1" ht="12" customHeight="1">
      <c r="A407" s="518" t="s">
        <v>199</v>
      </c>
      <c r="B407" s="92" t="s">
        <v>2995</v>
      </c>
      <c r="C407" s="11"/>
      <c r="D407" s="42"/>
      <c r="E407" s="38"/>
      <c r="F407" s="13"/>
      <c r="G407" s="13"/>
      <c r="H407" s="13"/>
      <c r="I407" s="42"/>
      <c r="J407" s="42"/>
      <c r="K407" s="2585"/>
      <c r="L407" s="1527"/>
      <c r="M407" s="338">
        <v>1</v>
      </c>
      <c r="N407" s="1240" t="s">
        <v>199</v>
      </c>
      <c r="O407" s="969"/>
      <c r="P407" s="970"/>
      <c r="Q407" s="609" t="str">
        <f>IF(OR($O407=$M407,$O407=0,$O407=""),"","*CHECK!*")</f>
        <v/>
      </c>
      <c r="R407" s="607" t="s">
        <v>2888</v>
      </c>
    </row>
    <row r="408" spans="1:21" s="73" customFormat="1" ht="12" customHeight="1">
      <c r="A408" s="518" t="s">
        <v>211</v>
      </c>
      <c r="B408" s="92" t="s">
        <v>2996</v>
      </c>
      <c r="C408" s="68"/>
      <c r="D408" s="68"/>
      <c r="E408" s="68"/>
      <c r="F408" s="68"/>
      <c r="G408" s="13"/>
      <c r="H408" s="68"/>
      <c r="I408" s="68"/>
      <c r="J408" s="68"/>
      <c r="K408" s="68"/>
      <c r="L408" s="68"/>
      <c r="M408" s="338">
        <v>1</v>
      </c>
      <c r="N408" s="1240" t="s">
        <v>211</v>
      </c>
      <c r="O408" s="2605"/>
      <c r="P408" s="2597"/>
      <c r="Q408" s="609" t="str">
        <f>IF(OR($O408=$M408,$O408=0,$O408=""),"","*CHECK!*")</f>
        <v/>
      </c>
      <c r="R408" s="607" t="s">
        <v>2888</v>
      </c>
    </row>
    <row r="409" spans="1:21" ht="12" customHeight="1">
      <c r="A409" s="518" t="s">
        <v>232</v>
      </c>
      <c r="B409" s="92" t="s">
        <v>1840</v>
      </c>
      <c r="C409" s="11"/>
      <c r="D409" s="11"/>
      <c r="E409" s="11"/>
      <c r="F409" s="11"/>
      <c r="G409" s="11"/>
      <c r="H409" s="11"/>
      <c r="I409" s="11"/>
      <c r="J409" s="11"/>
      <c r="K409" s="11"/>
      <c r="L409" s="11"/>
      <c r="M409" s="338">
        <v>1</v>
      </c>
      <c r="N409" s="1240" t="s">
        <v>232</v>
      </c>
      <c r="O409" s="1436"/>
      <c r="P409" s="1437"/>
      <c r="Q409" s="609" t="str">
        <f>IF(OR($O409=$M409,$O409=0,$O409=""),"","*CHECK!*")</f>
        <v/>
      </c>
      <c r="R409" s="607" t="s">
        <v>2888</v>
      </c>
      <c r="S409" s="19"/>
      <c r="T409" s="19"/>
      <c r="U409" s="19"/>
    </row>
    <row r="410" spans="1:21" s="43" customFormat="1" ht="12" customHeight="1">
      <c r="A410" s="518" t="s">
        <v>234</v>
      </c>
      <c r="B410" s="92" t="s">
        <v>2997</v>
      </c>
      <c r="H410" s="13"/>
      <c r="M410" s="338">
        <v>2</v>
      </c>
      <c r="N410" s="1240" t="s">
        <v>234</v>
      </c>
      <c r="O410" s="674">
        <f>O411-O412</f>
        <v>2</v>
      </c>
      <c r="P410" s="674">
        <f>P411-P412</f>
        <v>2</v>
      </c>
      <c r="Q410" s="609" t="str">
        <f>IF(OR($O410=$M410,$O410=0,$O410=""),"","*CHECK!*")</f>
        <v/>
      </c>
    </row>
    <row r="411" spans="1:21" s="42" customFormat="1" ht="12" customHeight="1">
      <c r="A411" s="80"/>
      <c r="C411" s="38" t="s">
        <v>1825</v>
      </c>
      <c r="D411" s="21"/>
      <c r="E411" s="21"/>
      <c r="I411" s="13"/>
      <c r="J411" s="13"/>
      <c r="K411" s="13"/>
      <c r="L411" s="209"/>
      <c r="M411" s="2538"/>
      <c r="N411" s="32"/>
      <c r="O411" s="1499">
        <v>2</v>
      </c>
      <c r="P411" s="1499">
        <v>2</v>
      </c>
      <c r="Q411" s="53"/>
    </row>
    <row r="412" spans="1:21" s="42" customFormat="1" ht="12" customHeight="1">
      <c r="A412" s="80"/>
      <c r="C412" s="38" t="s">
        <v>1843</v>
      </c>
      <c r="D412" s="21"/>
      <c r="E412" s="21"/>
      <c r="F412" s="13"/>
      <c r="G412" s="13"/>
      <c r="I412" s="13"/>
      <c r="J412" s="13"/>
      <c r="K412" s="13"/>
      <c r="L412" s="209"/>
      <c r="M412" s="2538"/>
      <c r="N412" s="32"/>
      <c r="O412" s="1435"/>
      <c r="P412" s="504"/>
      <c r="Q412" s="53"/>
      <c r="R412" s="607" t="s">
        <v>2888</v>
      </c>
    </row>
    <row r="413" spans="1:21" s="19" customFormat="1" ht="10.5" customHeight="1" thickBot="1">
      <c r="A413" s="43"/>
      <c r="B413" s="700" t="s">
        <v>2832</v>
      </c>
      <c r="C413" s="43"/>
      <c r="D413" s="48"/>
      <c r="E413" s="48"/>
      <c r="F413" s="48"/>
      <c r="G413" s="48"/>
      <c r="H413" s="13"/>
      <c r="I413" s="13"/>
      <c r="J413" s="13"/>
      <c r="K413" s="13"/>
      <c r="M413" s="32"/>
      <c r="N413" s="58"/>
      <c r="O413" s="2"/>
      <c r="P413" s="2533"/>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2400</v>
      </c>
      <c r="R414" s="249"/>
    </row>
    <row r="415" spans="1:21" s="19" customFormat="1" ht="10.5" customHeight="1" thickTop="1">
      <c r="B415" s="37" t="s">
        <v>1437</v>
      </c>
      <c r="C415" s="756"/>
      <c r="D415" s="37"/>
      <c r="E415" s="46"/>
      <c r="F415" s="2574"/>
      <c r="G415" s="2574"/>
      <c r="H415" s="2574"/>
      <c r="I415" s="2574"/>
      <c r="J415" s="2574"/>
      <c r="K415" s="2574"/>
      <c r="L415" s="2574"/>
      <c r="M415" s="2574"/>
      <c r="N415" s="4679"/>
      <c r="O415" s="31"/>
      <c r="P415" s="2538"/>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4"/>
      <c r="D417" s="2574"/>
      <c r="E417" s="2574"/>
      <c r="F417" s="2574"/>
      <c r="G417" s="2574"/>
      <c r="H417" s="2574"/>
      <c r="I417" s="2574"/>
      <c r="J417" s="2574"/>
      <c r="K417" s="2574"/>
      <c r="L417" s="2574"/>
      <c r="M417" s="2574"/>
      <c r="N417" s="4679"/>
      <c r="O417" s="31"/>
      <c r="P417" s="2538"/>
    </row>
    <row r="418" spans="1:18" s="42" customFormat="1" ht="11.25" customHeight="1" thickBot="1">
      <c r="A418" s="80" t="s">
        <v>1620</v>
      </c>
      <c r="B418" s="50" t="s">
        <v>2998</v>
      </c>
      <c r="D418" s="21"/>
      <c r="E418" s="21"/>
      <c r="F418" s="13"/>
      <c r="L418" s="609"/>
      <c r="M418" s="2538">
        <v>6</v>
      </c>
      <c r="N418" s="32"/>
      <c r="O418" s="671"/>
      <c r="P418" s="665"/>
      <c r="Q418" s="53" t="s">
        <v>787</v>
      </c>
      <c r="R418" s="607" t="s">
        <v>2888</v>
      </c>
    </row>
    <row r="419" spans="1:18" s="19" customFormat="1" ht="10.5" customHeight="1" thickBot="1">
      <c r="A419" s="43"/>
      <c r="B419" s="700" t="s">
        <v>2832</v>
      </c>
      <c r="C419" s="43"/>
      <c r="D419" s="48"/>
      <c r="E419" s="48"/>
      <c r="F419" s="48"/>
      <c r="G419" s="48"/>
      <c r="H419" s="13"/>
      <c r="I419" s="13"/>
      <c r="J419" s="13"/>
      <c r="K419" s="13"/>
      <c r="M419" s="32"/>
      <c r="N419" s="58"/>
      <c r="O419" s="2"/>
      <c r="P419" s="2533"/>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2400</v>
      </c>
      <c r="R420" s="249"/>
    </row>
    <row r="421" spans="1:18" s="42" customFormat="1" ht="10.5" customHeight="1" thickTop="1">
      <c r="A421" s="23"/>
      <c r="B421" s="23" t="s">
        <v>1437</v>
      </c>
      <c r="C421" s="43"/>
      <c r="D421" s="23"/>
      <c r="E421" s="2586"/>
      <c r="F421" s="2586"/>
      <c r="G421" s="2586"/>
      <c r="H421" s="2586"/>
      <c r="I421" s="2586"/>
      <c r="J421" s="2586"/>
      <c r="K421" s="2586"/>
      <c r="L421" s="2586"/>
      <c r="M421" s="2586"/>
      <c r="N421" s="4691"/>
      <c r="O421" s="510"/>
      <c r="P421" s="2538"/>
    </row>
    <row r="422" spans="1:18" s="19" customFormat="1" ht="11.1"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79"/>
      <c r="O423" s="31"/>
      <c r="P423" s="2538"/>
    </row>
    <row r="424" spans="1:18" s="42" customFormat="1" ht="11.25" customHeight="1" thickBot="1">
      <c r="A424" s="80" t="s">
        <v>1624</v>
      </c>
      <c r="B424" s="50" t="s">
        <v>2999</v>
      </c>
      <c r="D424" s="21"/>
      <c r="E424" s="21"/>
      <c r="F424" s="356"/>
      <c r="G424" s="13"/>
      <c r="L424" s="609" t="str">
        <f>IF(OR($O424=$M424,$O424=0,$O424=""),"","*CHECK!*")</f>
        <v/>
      </c>
      <c r="M424" s="2538">
        <v>6</v>
      </c>
      <c r="N424" s="32"/>
      <c r="O424" s="32"/>
      <c r="P424" s="665"/>
      <c r="Q424" s="53" t="s">
        <v>787</v>
      </c>
      <c r="R424" s="607" t="s">
        <v>2888</v>
      </c>
    </row>
    <row r="425" spans="1:18" s="42" customFormat="1" ht="10.5" customHeight="1">
      <c r="A425" s="23"/>
      <c r="B425" s="23" t="s">
        <v>1437</v>
      </c>
      <c r="C425" s="43"/>
      <c r="D425" s="23"/>
      <c r="E425" s="2586"/>
      <c r="F425" s="2586"/>
      <c r="G425" s="2586"/>
      <c r="H425" s="2586"/>
      <c r="I425" s="2586"/>
      <c r="J425" s="2586"/>
      <c r="K425" s="2586"/>
      <c r="L425" s="2586"/>
      <c r="M425" s="2586"/>
      <c r="N425" s="4691"/>
      <c r="O425" s="510"/>
      <c r="P425" s="2538"/>
    </row>
    <row r="426" spans="1:18" s="19" customFormat="1" ht="11.1"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79"/>
      <c r="O427" s="31"/>
      <c r="P427" s="2538"/>
    </row>
    <row r="428" spans="1:18" s="42" customFormat="1" ht="11.25" customHeight="1" thickBot="1">
      <c r="A428" s="80" t="s">
        <v>1629</v>
      </c>
      <c r="B428" s="50" t="s">
        <v>3000</v>
      </c>
      <c r="D428" s="21"/>
      <c r="L428" s="609"/>
      <c r="M428" s="2538">
        <v>4</v>
      </c>
      <c r="N428" s="32"/>
      <c r="O428" s="671"/>
      <c r="P428" s="665"/>
      <c r="Q428" s="53" t="s">
        <v>787</v>
      </c>
      <c r="R428" s="607" t="s">
        <v>2888</v>
      </c>
    </row>
    <row r="429" spans="1:18" s="19" customFormat="1" ht="10.5" customHeight="1" thickBot="1">
      <c r="A429" s="43"/>
      <c r="B429" s="700" t="s">
        <v>2832</v>
      </c>
      <c r="C429" s="43"/>
      <c r="D429" s="48"/>
      <c r="E429" s="48"/>
      <c r="F429" s="48"/>
      <c r="G429" s="48"/>
      <c r="H429" s="13"/>
      <c r="I429" s="13"/>
      <c r="J429" s="13"/>
      <c r="K429" s="13"/>
      <c r="M429" s="32"/>
      <c r="N429" s="58"/>
      <c r="O429" s="2"/>
      <c r="P429" s="2533"/>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2400</v>
      </c>
      <c r="R430" s="249"/>
    </row>
    <row r="431" spans="1:18" s="42" customFormat="1" ht="10.5" customHeight="1" thickTop="1">
      <c r="A431" s="23"/>
      <c r="B431" s="23" t="s">
        <v>1437</v>
      </c>
      <c r="C431" s="43"/>
      <c r="D431" s="23"/>
      <c r="E431" s="2586"/>
      <c r="F431" s="2586"/>
      <c r="G431" s="2586"/>
      <c r="H431" s="2586"/>
      <c r="I431" s="2586"/>
      <c r="J431" s="2586"/>
      <c r="K431" s="2586"/>
      <c r="L431" s="2586"/>
      <c r="M431" s="2586"/>
      <c r="N431" s="4691"/>
      <c r="O431" s="510"/>
      <c r="P431" s="2538"/>
    </row>
    <row r="432" spans="1:18" s="19" customFormat="1" ht="11.1"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79"/>
      <c r="O433" s="31"/>
      <c r="P433" s="2538"/>
    </row>
    <row r="434" spans="1:27" s="42" customFormat="1" ht="11.25" customHeight="1" thickBot="1">
      <c r="A434" s="80" t="s">
        <v>2782</v>
      </c>
      <c r="B434" s="50" t="s">
        <v>3001</v>
      </c>
      <c r="D434" s="21"/>
      <c r="G434" s="27" t="s">
        <v>2984</v>
      </c>
      <c r="L434" s="609" t="str">
        <f>IF(OR($O434&lt;=$M434,$O434=0,$O434=""),"","*CHECK!*")</f>
        <v/>
      </c>
      <c r="M434" s="2538">
        <v>6</v>
      </c>
      <c r="N434" s="32"/>
      <c r="O434" s="653">
        <f>IF(SUM(O435:O436)&gt;$M$434,"Check",SUM(O435:O436))</f>
        <v>0</v>
      </c>
      <c r="P434" s="653">
        <f>IF(SUM(P435:P436)&gt;$M$434,"Check",SUM(P435:P436))</f>
        <v>0</v>
      </c>
      <c r="Q434" s="53" t="s">
        <v>787</v>
      </c>
      <c r="R434" s="607" t="s">
        <v>2888</v>
      </c>
    </row>
    <row r="435" spans="1:27" s="19" customFormat="1" ht="12" customHeight="1">
      <c r="A435" s="518" t="s">
        <v>199</v>
      </c>
      <c r="B435" s="92" t="s">
        <v>2047</v>
      </c>
      <c r="C435"/>
      <c r="E435" s="39"/>
      <c r="F435" s="13"/>
      <c r="G435" s="13"/>
      <c r="H435" s="13"/>
      <c r="K435" s="2585"/>
      <c r="L435" s="26"/>
      <c r="M435" s="338">
        <v>6</v>
      </c>
      <c r="N435" s="1240" t="s">
        <v>199</v>
      </c>
      <c r="O435" s="1412"/>
      <c r="P435" s="1413"/>
      <c r="Q435" s="609" t="str">
        <f>IF(OR($O435&lt;=$M435,$O435=0,$O435=""),"","*CHECK!*")</f>
        <v/>
      </c>
      <c r="R435" s="607" t="s">
        <v>2888</v>
      </c>
    </row>
    <row r="436" spans="1:27" s="73" customFormat="1" ht="12" customHeight="1">
      <c r="A436" s="1410" t="s">
        <v>211</v>
      </c>
      <c r="B436" s="669" t="s">
        <v>2046</v>
      </c>
      <c r="C436" s="337"/>
      <c r="D436" s="337"/>
      <c r="E436" s="337"/>
      <c r="F436" s="337"/>
      <c r="H436" s="337"/>
      <c r="I436" s="337"/>
      <c r="J436" s="68"/>
      <c r="K436" s="68"/>
      <c r="L436" s="68"/>
      <c r="M436" s="338">
        <v>4</v>
      </c>
      <c r="N436" s="1240" t="s">
        <v>211</v>
      </c>
      <c r="O436" s="298"/>
      <c r="P436" s="305"/>
      <c r="Q436" s="609" t="str">
        <f>IF(OR($O436&lt;=$M436,$O436=0,$O436=""),"","*CHECK!*")</f>
        <v/>
      </c>
      <c r="R436" s="607" t="s">
        <v>2888</v>
      </c>
    </row>
    <row r="437" spans="1:27" s="19" customFormat="1" ht="10.5" customHeight="1" thickBot="1">
      <c r="A437" s="43"/>
      <c r="B437" s="700" t="s">
        <v>2832</v>
      </c>
      <c r="C437" s="43"/>
      <c r="D437" s="48"/>
      <c r="E437" s="48"/>
      <c r="F437" s="48"/>
      <c r="G437" s="48"/>
      <c r="H437" s="13"/>
      <c r="I437" s="13"/>
      <c r="J437" s="13"/>
      <c r="K437" s="13"/>
      <c r="M437" s="32"/>
      <c r="N437" s="58"/>
      <c r="O437" s="2"/>
      <c r="P437" s="2533"/>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2400</v>
      </c>
      <c r="R438" s="249"/>
    </row>
    <row r="439" spans="1:27" s="42" customFormat="1" ht="10.5" customHeight="1" thickTop="1">
      <c r="A439" s="23"/>
      <c r="B439" s="23" t="s">
        <v>1437</v>
      </c>
      <c r="C439" s="43"/>
      <c r="D439" s="23"/>
      <c r="E439" s="2586"/>
      <c r="F439" s="2586"/>
      <c r="G439" s="2586"/>
      <c r="H439" s="2586"/>
      <c r="I439" s="2586"/>
      <c r="J439" s="2586"/>
      <c r="K439" s="2586"/>
      <c r="L439" s="2586"/>
      <c r="M439" s="2586"/>
      <c r="N439" s="4691"/>
      <c r="O439" s="510"/>
      <c r="P439" s="2538"/>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3"/>
      <c r="P441" s="2533"/>
      <c r="Q441" s="4077" t="s">
        <v>3002</v>
      </c>
      <c r="R441" s="4077"/>
      <c r="S441" s="4077"/>
      <c r="T441" s="4077"/>
      <c r="U441" s="4077"/>
      <c r="V441" s="4077"/>
      <c r="W441" s="4077"/>
      <c r="X441" s="4077"/>
      <c r="Y441" s="4077"/>
      <c r="Z441" s="4077"/>
      <c r="AA441" s="4077"/>
    </row>
    <row r="442" spans="1:27" s="18" customFormat="1" ht="12.75" customHeight="1" thickTop="1" thickBot="1">
      <c r="A442" s="81" t="s">
        <v>2077</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95" thickTop="1">
      <c r="A443" s="43"/>
      <c r="C443" s="2574"/>
      <c r="D443" s="2574"/>
      <c r="E443" s="2574"/>
      <c r="F443" s="2574"/>
      <c r="G443" s="2574"/>
      <c r="H443" s="2574"/>
      <c r="I443" s="2574"/>
      <c r="J443" s="2574"/>
      <c r="K443" s="2574"/>
      <c r="L443" s="2574"/>
      <c r="M443" s="2574"/>
      <c r="N443" s="2574"/>
      <c r="O443" s="2574"/>
      <c r="P443" s="2574"/>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8"/>
      <c r="O444" s="2538"/>
      <c r="P444" s="2"/>
      <c r="Q444" s="4077"/>
      <c r="R444" s="4077"/>
      <c r="S444" s="4077"/>
      <c r="T444" s="4077"/>
      <c r="U444" s="4077"/>
      <c r="V444" s="4077"/>
      <c r="W444" s="4077"/>
      <c r="X444" s="4077"/>
      <c r="Y444" s="4077"/>
      <c r="Z444" s="4077"/>
      <c r="AA444" s="4077"/>
    </row>
    <row r="445" spans="1:27" s="19" customFormat="1" ht="22.5" customHeight="1">
      <c r="A445" s="3904" t="s">
        <v>3003</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3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1714</v>
      </c>
      <c r="D447" s="40"/>
      <c r="E447" s="40"/>
      <c r="F447" s="40"/>
      <c r="G447" s="40"/>
      <c r="H447" s="40"/>
      <c r="I447" s="40"/>
      <c r="J447" s="274" t="s">
        <v>1638</v>
      </c>
      <c r="K447" s="40"/>
      <c r="L447" s="40"/>
      <c r="M447" s="40"/>
      <c r="N447" s="2604"/>
      <c r="O447" s="1669"/>
      <c r="P447" s="1669"/>
      <c r="Q447" s="142"/>
      <c r="R447" s="142"/>
      <c r="S447" s="142"/>
      <c r="T447" s="1522"/>
      <c r="U447" s="1522"/>
      <c r="V447" s="1522"/>
      <c r="W447" s="1522"/>
      <c r="X447" s="1522"/>
      <c r="Y447" s="1522"/>
    </row>
    <row r="448" spans="1:27" s="77" customFormat="1">
      <c r="C448" s="40" t="s">
        <v>2080</v>
      </c>
      <c r="D448" s="40"/>
      <c r="E448" s="40"/>
      <c r="F448" s="40"/>
      <c r="G448" s="40"/>
      <c r="H448" s="40"/>
      <c r="I448" s="40"/>
      <c r="J448" s="274" t="s">
        <v>1661</v>
      </c>
      <c r="K448" s="40"/>
      <c r="L448" s="40"/>
      <c r="M448" s="40"/>
      <c r="N448" s="2604"/>
      <c r="O448" s="1669"/>
      <c r="P448" s="1669"/>
      <c r="Q448" s="40"/>
    </row>
    <row r="449" spans="3:17" s="77" customFormat="1">
      <c r="C449" s="40" t="s">
        <v>2081</v>
      </c>
      <c r="D449" s="40"/>
      <c r="E449" s="40"/>
      <c r="F449" s="40"/>
      <c r="G449" s="40"/>
      <c r="H449" s="40"/>
      <c r="I449" s="40"/>
      <c r="J449" s="274" t="s">
        <v>2082</v>
      </c>
      <c r="K449" s="40"/>
      <c r="L449" s="40"/>
      <c r="M449" s="40"/>
      <c r="N449" s="2604"/>
      <c r="O449" s="1669"/>
      <c r="P449" s="1669"/>
      <c r="Q449" s="40"/>
    </row>
    <row r="450" spans="3:17" s="77" customFormat="1">
      <c r="C450" s="40" t="s">
        <v>2083</v>
      </c>
      <c r="D450" s="40"/>
      <c r="E450" s="40"/>
      <c r="F450" s="40"/>
      <c r="G450" s="40"/>
      <c r="H450" s="40"/>
      <c r="I450" s="40"/>
      <c r="J450" s="274" t="s">
        <v>2084</v>
      </c>
      <c r="K450" s="40"/>
      <c r="L450" s="40"/>
      <c r="M450" s="40"/>
      <c r="N450" s="2604"/>
      <c r="O450" s="1669"/>
      <c r="P450" s="1669"/>
      <c r="Q450" s="40"/>
    </row>
    <row r="451" spans="3:17" s="77" customFormat="1">
      <c r="C451" s="40"/>
      <c r="D451" s="40"/>
      <c r="E451" s="40"/>
      <c r="F451" s="40"/>
      <c r="G451" s="40"/>
      <c r="H451" s="40"/>
      <c r="I451" s="40"/>
      <c r="J451" s="274" t="s">
        <v>1510</v>
      </c>
      <c r="K451" s="40"/>
      <c r="L451" s="40"/>
      <c r="M451" s="40"/>
      <c r="N451" s="2604"/>
      <c r="O451" s="1669"/>
      <c r="P451" s="1669"/>
      <c r="Q451" s="40"/>
    </row>
    <row r="452" spans="3:17" s="77" customFormat="1">
      <c r="C452" s="40" t="s">
        <v>726</v>
      </c>
      <c r="D452" s="40"/>
      <c r="E452" s="40"/>
      <c r="F452" s="40"/>
      <c r="G452" s="40"/>
      <c r="H452" s="40"/>
      <c r="I452" s="40"/>
      <c r="J452" s="274" t="s">
        <v>2085</v>
      </c>
      <c r="K452" s="40"/>
      <c r="L452" s="40"/>
      <c r="M452" s="40"/>
      <c r="N452" s="2604"/>
      <c r="O452" s="1669"/>
      <c r="P452" s="1669"/>
      <c r="Q452" s="40"/>
    </row>
    <row r="453" spans="3:17" s="77" customFormat="1">
      <c r="C453" s="1039" t="s">
        <v>1634</v>
      </c>
      <c r="D453" s="40"/>
      <c r="E453" s="40"/>
      <c r="F453" s="40"/>
      <c r="G453" s="40"/>
      <c r="H453" s="40"/>
      <c r="I453" s="40"/>
      <c r="J453" s="274" t="s">
        <v>2086</v>
      </c>
      <c r="K453" s="40"/>
      <c r="L453" s="40"/>
      <c r="M453" s="40"/>
      <c r="N453" s="2604"/>
      <c r="O453" s="1669"/>
      <c r="P453" s="1669"/>
      <c r="Q453" s="40"/>
    </row>
    <row r="454" spans="3:17" s="77" customFormat="1">
      <c r="C454" s="1039" t="s">
        <v>1637</v>
      </c>
      <c r="D454" s="40"/>
      <c r="E454" s="40"/>
      <c r="F454" s="40"/>
      <c r="G454" s="40"/>
      <c r="H454" s="40"/>
      <c r="I454" s="40"/>
      <c r="J454" s="274" t="s">
        <v>1647</v>
      </c>
      <c r="K454" s="40"/>
      <c r="L454" s="40"/>
      <c r="M454" s="40"/>
      <c r="N454" s="2604"/>
      <c r="O454" s="1669"/>
      <c r="P454" s="1669"/>
      <c r="Q454" s="40"/>
    </row>
    <row r="455" spans="3:17" s="77" customFormat="1">
      <c r="C455" s="1039" t="s">
        <v>1640</v>
      </c>
      <c r="D455" s="40"/>
      <c r="E455" s="40"/>
      <c r="F455" s="40"/>
      <c r="G455" s="40"/>
      <c r="H455" s="40"/>
      <c r="I455" s="40"/>
      <c r="J455" s="274" t="s">
        <v>1632</v>
      </c>
      <c r="K455" s="40"/>
      <c r="L455" s="40"/>
      <c r="M455" s="40"/>
      <c r="N455" s="2604"/>
      <c r="O455" s="1669"/>
      <c r="P455" s="1669"/>
      <c r="Q455" s="40"/>
    </row>
    <row r="456" spans="3:17" s="77" customFormat="1">
      <c r="C456" s="1039" t="s">
        <v>1643</v>
      </c>
      <c r="D456" s="40"/>
      <c r="E456" s="40"/>
      <c r="F456" s="40"/>
      <c r="G456" s="40"/>
      <c r="H456" s="40"/>
      <c r="I456" s="40"/>
      <c r="J456" s="274" t="s">
        <v>1644</v>
      </c>
      <c r="K456" s="40"/>
      <c r="L456" s="40"/>
      <c r="M456" s="40"/>
      <c r="N456" s="2604"/>
      <c r="O456" s="1669"/>
      <c r="P456" s="1669"/>
      <c r="Q456" s="40"/>
    </row>
    <row r="457" spans="3:17" s="77" customFormat="1">
      <c r="C457" s="1039" t="s">
        <v>1646</v>
      </c>
      <c r="D457" s="40"/>
      <c r="E457" s="40"/>
      <c r="F457" s="40"/>
      <c r="G457" s="40"/>
      <c r="H457" s="40"/>
      <c r="I457" s="40"/>
      <c r="J457" s="274" t="s">
        <v>2092</v>
      </c>
      <c r="K457" s="40"/>
      <c r="L457" s="40"/>
      <c r="M457" s="40"/>
      <c r="N457" s="2604"/>
      <c r="O457" s="1669"/>
      <c r="P457" s="1669"/>
      <c r="Q457" s="40"/>
    </row>
    <row r="458" spans="3:17" s="77" customFormat="1">
      <c r="C458" s="1039" t="s">
        <v>1649</v>
      </c>
      <c r="D458" s="40"/>
      <c r="E458" s="40"/>
      <c r="F458" s="40"/>
      <c r="G458" s="40"/>
      <c r="H458" s="40"/>
      <c r="I458" s="40"/>
      <c r="J458" s="274" t="s">
        <v>1659</v>
      </c>
      <c r="K458" s="40"/>
      <c r="L458" s="40"/>
      <c r="M458" s="40"/>
      <c r="N458" s="2604"/>
      <c r="O458" s="1669"/>
      <c r="P458" s="1669"/>
      <c r="Q458" s="40"/>
    </row>
    <row r="459" spans="3:17" s="77" customFormat="1">
      <c r="C459" s="1039" t="s">
        <v>1652</v>
      </c>
      <c r="D459" s="40"/>
      <c r="E459" s="40"/>
      <c r="F459" s="40"/>
      <c r="G459" s="40"/>
      <c r="H459" s="40"/>
      <c r="I459" s="40"/>
      <c r="J459" s="274" t="s">
        <v>2094</v>
      </c>
      <c r="K459" s="40"/>
      <c r="L459" s="40"/>
      <c r="M459" s="40"/>
      <c r="N459" s="2604"/>
      <c r="O459" s="1669"/>
      <c r="P459" s="1669"/>
      <c r="Q459" s="40"/>
    </row>
    <row r="460" spans="3:17" s="77" customFormat="1">
      <c r="C460" s="1039" t="s">
        <v>1655</v>
      </c>
      <c r="D460" s="40"/>
      <c r="E460" s="40"/>
      <c r="F460" s="40"/>
      <c r="G460" s="40"/>
      <c r="H460" s="40"/>
      <c r="I460" s="40"/>
      <c r="J460" s="274" t="s">
        <v>2096</v>
      </c>
      <c r="K460" s="40"/>
      <c r="L460" s="40"/>
      <c r="M460" s="40"/>
      <c r="N460" s="2604"/>
      <c r="O460" s="1669"/>
      <c r="P460" s="1669"/>
      <c r="Q460" s="40"/>
    </row>
    <row r="461" spans="3:17" s="77" customFormat="1">
      <c r="C461" s="1039" t="s">
        <v>1658</v>
      </c>
      <c r="D461" s="40"/>
      <c r="E461" s="40"/>
      <c r="F461" s="40"/>
      <c r="G461" s="40"/>
      <c r="H461" s="40"/>
      <c r="I461" s="40"/>
      <c r="J461" s="40"/>
      <c r="K461" s="40"/>
      <c r="L461" s="40"/>
      <c r="M461" s="40"/>
      <c r="N461" s="2604"/>
      <c r="O461" s="1669"/>
      <c r="P461" s="1669"/>
      <c r="Q461" s="40"/>
    </row>
    <row r="462" spans="3:17" s="77" customFormat="1">
      <c r="C462" s="1039" t="s">
        <v>1660</v>
      </c>
      <c r="D462" s="40"/>
      <c r="E462" s="40"/>
      <c r="F462" s="40"/>
      <c r="G462" s="40"/>
      <c r="H462" s="40"/>
      <c r="I462" s="40"/>
      <c r="J462" s="1670" t="s">
        <v>2100</v>
      </c>
      <c r="K462" s="40"/>
      <c r="L462" s="40"/>
      <c r="M462" s="40"/>
      <c r="N462" s="2604"/>
      <c r="O462" s="1670" t="s">
        <v>2101</v>
      </c>
      <c r="P462" s="1669"/>
      <c r="Q462" s="40"/>
    </row>
    <row r="463" spans="3:17" s="77" customFormat="1">
      <c r="C463" s="1039" t="s">
        <v>1662</v>
      </c>
      <c r="D463" s="40"/>
      <c r="E463" s="40"/>
      <c r="F463" s="40"/>
      <c r="G463" s="40"/>
      <c r="H463" s="40"/>
      <c r="I463" s="40"/>
      <c r="J463" s="274" t="s">
        <v>2103</v>
      </c>
      <c r="K463" s="40"/>
      <c r="L463" s="40"/>
      <c r="M463" s="40"/>
      <c r="N463" s="2604"/>
      <c r="O463" s="1669"/>
      <c r="P463" s="1669"/>
      <c r="Q463" s="40"/>
    </row>
    <row r="464" spans="3:17" s="77" customFormat="1">
      <c r="C464" s="1039" t="s">
        <v>1664</v>
      </c>
      <c r="D464" s="40"/>
      <c r="E464" s="40"/>
      <c r="F464" s="40"/>
      <c r="G464" s="40"/>
      <c r="H464" s="40"/>
      <c r="I464" s="40"/>
      <c r="J464" s="40" t="s">
        <v>2106</v>
      </c>
      <c r="K464" s="40"/>
      <c r="L464" s="40"/>
      <c r="M464" s="40"/>
      <c r="N464" s="2604"/>
      <c r="O464" s="1669">
        <v>2</v>
      </c>
      <c r="P464" s="1669"/>
      <c r="Q464" s="40"/>
    </row>
    <row r="465" spans="1:17" s="77" customFormat="1">
      <c r="C465" s="40"/>
      <c r="D465" s="40"/>
      <c r="E465" s="40"/>
      <c r="F465" s="40"/>
      <c r="G465" s="40"/>
      <c r="H465" s="40"/>
      <c r="I465" s="40"/>
      <c r="J465" s="40" t="s">
        <v>2108</v>
      </c>
      <c r="K465" s="40"/>
      <c r="L465" s="40"/>
      <c r="M465" s="40"/>
      <c r="N465" s="2604"/>
      <c r="O465" s="1669">
        <v>2</v>
      </c>
      <c r="P465" s="1669"/>
      <c r="Q465" s="40"/>
    </row>
    <row r="466" spans="1:17" s="77" customFormat="1">
      <c r="C466" s="40"/>
      <c r="D466" s="40"/>
      <c r="E466" s="40"/>
      <c r="F466" s="40"/>
      <c r="G466" s="3901" t="s">
        <v>2111</v>
      </c>
      <c r="H466" s="3901"/>
      <c r="I466" s="3901"/>
      <c r="J466" s="40" t="s">
        <v>2112</v>
      </c>
      <c r="K466" s="40"/>
      <c r="L466" s="40"/>
      <c r="M466" s="40"/>
      <c r="N466" s="2604"/>
      <c r="O466" s="1669">
        <v>2</v>
      </c>
      <c r="P466" s="1669"/>
      <c r="Q466" s="40"/>
    </row>
    <row r="467" spans="1:17" s="77" customFormat="1">
      <c r="C467" s="40"/>
      <c r="D467" s="40"/>
      <c r="E467" s="40"/>
      <c r="F467" s="40"/>
      <c r="G467" s="1411" t="s">
        <v>2115</v>
      </c>
      <c r="H467" s="40" t="s">
        <v>2116</v>
      </c>
      <c r="I467" s="1411" t="s">
        <v>2117</v>
      </c>
      <c r="J467" s="40" t="s">
        <v>2118</v>
      </c>
      <c r="K467" s="40"/>
      <c r="L467" s="1411"/>
      <c r="M467" s="40"/>
      <c r="N467" s="2604"/>
      <c r="O467" s="1669">
        <v>2</v>
      </c>
      <c r="P467" s="1669"/>
      <c r="Q467" s="40"/>
    </row>
    <row r="468" spans="1:17" s="77" customFormat="1">
      <c r="C468" s="366"/>
      <c r="D468" s="40"/>
      <c r="E468" s="40"/>
      <c r="F468" s="40"/>
      <c r="G468" s="1113" t="s">
        <v>2120</v>
      </c>
      <c r="H468" s="40"/>
      <c r="I468" s="1113"/>
      <c r="J468" s="40" t="s">
        <v>2121</v>
      </c>
      <c r="K468" s="40"/>
      <c r="L468" s="1113"/>
      <c r="M468" s="40"/>
      <c r="N468" s="2604"/>
      <c r="O468" s="1669">
        <v>2</v>
      </c>
      <c r="P468" s="1669"/>
      <c r="Q468" s="40"/>
    </row>
    <row r="469" spans="1:17" s="77" customFormat="1">
      <c r="C469" s="366"/>
      <c r="D469" s="40"/>
      <c r="E469" s="40"/>
      <c r="F469" s="40"/>
      <c r="G469" s="1113" t="s">
        <v>2124</v>
      </c>
      <c r="H469" s="2604" t="s">
        <v>2125</v>
      </c>
      <c r="I469" s="1411" t="s">
        <v>1108</v>
      </c>
      <c r="J469" s="40" t="s">
        <v>2126</v>
      </c>
      <c r="K469" s="40"/>
      <c r="L469" s="366"/>
      <c r="M469" s="40"/>
      <c r="N469" s="2604"/>
      <c r="O469" s="1669">
        <v>1</v>
      </c>
      <c r="P469" s="1669"/>
      <c r="Q469" s="40"/>
    </row>
    <row r="470" spans="1:17" s="77" customFormat="1">
      <c r="C470" s="366"/>
      <c r="D470" s="40"/>
      <c r="E470" s="40"/>
      <c r="F470" s="40"/>
      <c r="G470" s="1113" t="s">
        <v>2128</v>
      </c>
      <c r="H470" s="2604">
        <v>2020</v>
      </c>
      <c r="I470" s="2604" t="s">
        <v>2129</v>
      </c>
      <c r="J470" s="40" t="s">
        <v>2130</v>
      </c>
      <c r="K470" s="40"/>
      <c r="L470" s="366"/>
      <c r="M470" s="40"/>
      <c r="N470" s="2604"/>
      <c r="O470" s="1669">
        <v>1</v>
      </c>
      <c r="P470" s="1669"/>
      <c r="Q470" s="40"/>
    </row>
    <row r="471" spans="1:17" s="77" customFormat="1">
      <c r="C471" s="366"/>
      <c r="D471" s="40"/>
      <c r="E471" s="40"/>
      <c r="F471" s="40"/>
      <c r="G471" s="1113" t="s">
        <v>2132</v>
      </c>
      <c r="H471" s="2604" t="s">
        <v>2133</v>
      </c>
      <c r="I471" s="1411" t="s">
        <v>1108</v>
      </c>
      <c r="J471" s="40" t="s">
        <v>2134</v>
      </c>
      <c r="K471" s="40"/>
      <c r="L471" s="366"/>
      <c r="M471" s="40"/>
      <c r="N471" s="2604"/>
      <c r="O471" s="1669">
        <v>1</v>
      </c>
      <c r="P471" s="1669"/>
      <c r="Q471" s="40"/>
    </row>
    <row r="472" spans="1:17" s="77" customFormat="1">
      <c r="C472" s="366"/>
      <c r="D472" s="40"/>
      <c r="E472" s="40"/>
      <c r="F472" s="40"/>
      <c r="G472" s="1113" t="s">
        <v>2136</v>
      </c>
      <c r="H472" s="2604">
        <v>2020</v>
      </c>
      <c r="I472" s="2604" t="s">
        <v>2129</v>
      </c>
      <c r="J472" s="40" t="s">
        <v>2137</v>
      </c>
      <c r="K472" s="40"/>
      <c r="L472" s="366"/>
      <c r="M472" s="40"/>
      <c r="N472" s="2604"/>
      <c r="O472" s="1669">
        <v>1</v>
      </c>
      <c r="P472" s="1669"/>
      <c r="Q472" s="40"/>
    </row>
    <row r="473" spans="1:17" s="77" customFormat="1">
      <c r="C473" s="366"/>
      <c r="D473" s="40"/>
      <c r="E473" s="40"/>
      <c r="F473" s="40"/>
      <c r="G473" s="1113" t="s">
        <v>2139</v>
      </c>
      <c r="H473" s="2604">
        <v>2019</v>
      </c>
      <c r="I473" s="2604" t="s">
        <v>2129</v>
      </c>
      <c r="J473" s="40" t="s">
        <v>2140</v>
      </c>
      <c r="K473" s="40"/>
      <c r="L473" s="366"/>
      <c r="M473" s="40"/>
      <c r="N473" s="2604"/>
      <c r="O473" s="1669">
        <v>1</v>
      </c>
      <c r="P473" s="1669"/>
      <c r="Q473" s="40"/>
    </row>
    <row r="474" spans="1:17" s="77" customFormat="1">
      <c r="C474" s="366"/>
      <c r="D474" s="40"/>
      <c r="E474" s="40"/>
      <c r="F474" s="40"/>
      <c r="G474" s="1113" t="s">
        <v>2143</v>
      </c>
      <c r="H474" s="2604" t="s">
        <v>2133</v>
      </c>
      <c r="I474" s="1411" t="s">
        <v>1108</v>
      </c>
      <c r="J474" s="40" t="s">
        <v>2144</v>
      </c>
      <c r="K474" s="40"/>
      <c r="L474" s="366"/>
      <c r="M474" s="40"/>
      <c r="N474" s="2604"/>
      <c r="O474" s="1669">
        <v>1</v>
      </c>
      <c r="P474" s="1669"/>
      <c r="Q474" s="40"/>
    </row>
    <row r="475" spans="1:17" s="77" customFormat="1">
      <c r="C475" s="366"/>
      <c r="D475" s="40"/>
      <c r="E475" s="40"/>
      <c r="F475" s="40"/>
      <c r="G475" s="1113" t="s">
        <v>2147</v>
      </c>
      <c r="H475" s="2604">
        <v>2020</v>
      </c>
      <c r="I475" s="2604" t="s">
        <v>2129</v>
      </c>
      <c r="J475" s="40" t="s">
        <v>2148</v>
      </c>
      <c r="K475" s="40"/>
      <c r="L475" s="366"/>
      <c r="M475" s="40"/>
      <c r="N475" s="2604"/>
      <c r="O475" s="1669">
        <v>1</v>
      </c>
      <c r="P475" s="1669"/>
      <c r="Q475" s="40"/>
    </row>
    <row r="476" spans="1:17" s="77" customFormat="1">
      <c r="C476" s="366"/>
      <c r="D476" s="40"/>
      <c r="E476" s="40"/>
      <c r="F476" s="40"/>
      <c r="G476" s="1113" t="s">
        <v>2150</v>
      </c>
      <c r="H476" s="2604" t="s">
        <v>2125</v>
      </c>
      <c r="I476" s="1411" t="s">
        <v>1108</v>
      </c>
      <c r="J476" s="40" t="s">
        <v>2151</v>
      </c>
      <c r="K476" s="40"/>
      <c r="L476" s="366"/>
      <c r="M476" s="40"/>
      <c r="N476" s="2604"/>
      <c r="O476" s="1669">
        <v>1</v>
      </c>
      <c r="P476" s="1669"/>
      <c r="Q476" s="40"/>
    </row>
    <row r="477" spans="1:17" s="77" customFormat="1">
      <c r="C477" s="40"/>
      <c r="D477" s="40"/>
      <c r="E477" s="40"/>
      <c r="F477" s="40"/>
      <c r="G477" s="1113" t="s">
        <v>2153</v>
      </c>
      <c r="H477" s="2604" t="s">
        <v>2125</v>
      </c>
      <c r="I477" s="1411" t="s">
        <v>1108</v>
      </c>
      <c r="J477" s="40" t="s">
        <v>2154</v>
      </c>
      <c r="K477" s="40"/>
      <c r="L477" s="366"/>
      <c r="M477" s="40"/>
      <c r="N477" s="2604"/>
      <c r="O477" s="1669">
        <v>1</v>
      </c>
      <c r="P477" s="1669"/>
      <c r="Q477" s="40"/>
    </row>
    <row r="478" spans="1:17" s="77" customFormat="1">
      <c r="C478" s="40"/>
      <c r="D478" s="40"/>
      <c r="E478" s="40"/>
      <c r="F478" s="40"/>
      <c r="G478" s="1113" t="s">
        <v>2156</v>
      </c>
      <c r="H478" s="2604">
        <v>2019</v>
      </c>
      <c r="I478" s="2604" t="s">
        <v>2129</v>
      </c>
      <c r="J478" s="40" t="s">
        <v>2157</v>
      </c>
      <c r="K478" s="40"/>
      <c r="L478" s="366"/>
      <c r="M478" s="40"/>
      <c r="N478" s="2604"/>
      <c r="O478" s="1669">
        <v>1</v>
      </c>
      <c r="P478" s="1669"/>
      <c r="Q478" s="40"/>
    </row>
    <row r="479" spans="1:17" s="77" customFormat="1">
      <c r="A479" s="25" t="s">
        <v>2159</v>
      </c>
      <c r="C479" s="40"/>
      <c r="D479" s="40"/>
      <c r="E479" s="40"/>
      <c r="F479" s="40"/>
      <c r="G479" s="1113" t="s">
        <v>2160</v>
      </c>
      <c r="H479" s="2604" t="s">
        <v>2125</v>
      </c>
      <c r="I479" s="1411" t="s">
        <v>1108</v>
      </c>
      <c r="J479" s="40" t="s">
        <v>2161</v>
      </c>
      <c r="K479" s="40"/>
      <c r="L479" s="366"/>
      <c r="M479" s="40"/>
      <c r="N479" s="2604"/>
      <c r="O479" s="1669">
        <v>1</v>
      </c>
      <c r="P479" s="1669"/>
      <c r="Q479" s="40"/>
    </row>
    <row r="480" spans="1:17" s="77" customFormat="1">
      <c r="A480" s="25" t="s">
        <v>2163</v>
      </c>
      <c r="C480" s="40"/>
      <c r="D480" s="40"/>
      <c r="E480" s="40"/>
      <c r="F480" s="40"/>
      <c r="G480" s="1113" t="s">
        <v>2164</v>
      </c>
      <c r="H480" s="2604">
        <v>2019</v>
      </c>
      <c r="I480" s="2604" t="s">
        <v>2129</v>
      </c>
      <c r="J480" s="40" t="s">
        <v>2165</v>
      </c>
      <c r="K480" s="40"/>
      <c r="L480" s="366"/>
      <c r="M480" s="40"/>
      <c r="N480" s="2604"/>
      <c r="O480" s="1669">
        <v>1</v>
      </c>
      <c r="P480" s="1669"/>
      <c r="Q480" s="40"/>
    </row>
    <row r="481" spans="1:17" s="77" customFormat="1">
      <c r="A481" s="73" t="s">
        <v>2167</v>
      </c>
      <c r="C481" s="40"/>
      <c r="D481" s="366"/>
      <c r="E481" s="366">
        <v>3</v>
      </c>
      <c r="F481" s="40"/>
      <c r="G481" s="1113" t="s">
        <v>2168</v>
      </c>
      <c r="H481" s="2604">
        <v>2019</v>
      </c>
      <c r="I481" s="2604" t="s">
        <v>2129</v>
      </c>
      <c r="J481" s="40"/>
      <c r="K481" s="40"/>
      <c r="L481" s="366"/>
      <c r="M481" s="40"/>
      <c r="N481" s="2604"/>
      <c r="O481" s="1669"/>
      <c r="P481" s="1669"/>
      <c r="Q481" s="40"/>
    </row>
    <row r="482" spans="1:17" s="77" customFormat="1">
      <c r="A482" s="73" t="s">
        <v>2170</v>
      </c>
      <c r="C482" s="40"/>
      <c r="D482" s="366"/>
      <c r="E482" s="366">
        <v>2</v>
      </c>
      <c r="F482" s="40"/>
      <c r="G482" s="1113" t="s">
        <v>148</v>
      </c>
      <c r="H482" s="2604">
        <v>2019</v>
      </c>
      <c r="I482" s="2604" t="s">
        <v>2129</v>
      </c>
      <c r="J482" s="40"/>
      <c r="K482" s="40"/>
      <c r="L482" s="366"/>
      <c r="M482" s="40"/>
      <c r="N482" s="2604"/>
      <c r="O482" s="1669"/>
      <c r="P482" s="1669"/>
      <c r="Q482" s="40"/>
    </row>
    <row r="483" spans="1:17" s="77" customFormat="1">
      <c r="A483" s="73" t="s">
        <v>2171</v>
      </c>
      <c r="C483" s="40"/>
      <c r="D483" s="366"/>
      <c r="E483" s="366">
        <v>10</v>
      </c>
      <c r="F483" s="40"/>
      <c r="G483" s="1113" t="s">
        <v>2172</v>
      </c>
      <c r="H483" s="2604">
        <v>2019</v>
      </c>
      <c r="I483" s="2604" t="s">
        <v>2129</v>
      </c>
      <c r="J483" s="292" t="s">
        <v>2173</v>
      </c>
      <c r="K483" s="40"/>
      <c r="L483" s="366"/>
      <c r="M483" s="40"/>
      <c r="N483" s="2604"/>
      <c r="O483" s="1669"/>
      <c r="P483" s="1669"/>
      <c r="Q483" s="40"/>
    </row>
    <row r="484" spans="1:17" s="77" customFormat="1">
      <c r="A484" s="73" t="s">
        <v>2174</v>
      </c>
      <c r="C484" s="40"/>
      <c r="D484" s="366"/>
      <c r="E484" s="366"/>
      <c r="F484" s="40"/>
      <c r="G484" s="1113" t="s">
        <v>2175</v>
      </c>
      <c r="H484" s="2604">
        <v>2019</v>
      </c>
      <c r="I484" s="2604" t="s">
        <v>2129</v>
      </c>
      <c r="J484" s="40" t="s">
        <v>1723</v>
      </c>
      <c r="K484" s="40"/>
      <c r="L484" s="366"/>
      <c r="M484" s="40"/>
      <c r="N484" s="2604"/>
      <c r="O484" s="1669"/>
      <c r="P484" s="1669"/>
      <c r="Q484" s="40"/>
    </row>
    <row r="485" spans="1:17" s="77" customFormat="1">
      <c r="C485" s="366"/>
      <c r="D485" s="40"/>
      <c r="E485" s="40"/>
      <c r="F485" s="40"/>
      <c r="G485" s="1113" t="s">
        <v>2177</v>
      </c>
      <c r="H485" s="2604">
        <v>2020</v>
      </c>
      <c r="I485" s="2604" t="s">
        <v>2129</v>
      </c>
      <c r="J485" s="40" t="s">
        <v>2178</v>
      </c>
      <c r="K485" s="40"/>
      <c r="L485" s="366"/>
      <c r="M485" s="40"/>
      <c r="N485" s="2604"/>
      <c r="O485" s="1669"/>
      <c r="P485" s="1669"/>
      <c r="Q485" s="40"/>
    </row>
    <row r="486" spans="1:17" s="77" customFormat="1">
      <c r="C486" s="366"/>
      <c r="D486" s="40"/>
      <c r="E486" s="40"/>
      <c r="F486" s="40"/>
      <c r="G486" s="1113" t="s">
        <v>2179</v>
      </c>
      <c r="H486" s="2604">
        <v>2020</v>
      </c>
      <c r="I486" s="2604" t="s">
        <v>2129</v>
      </c>
      <c r="J486" s="40" t="s">
        <v>1533</v>
      </c>
      <c r="K486" s="40"/>
      <c r="L486" s="366"/>
      <c r="M486" s="40"/>
      <c r="N486" s="2604"/>
      <c r="O486" s="1669"/>
      <c r="P486" s="1669"/>
      <c r="Q486" s="40"/>
    </row>
    <row r="487" spans="1:17" s="77" customFormat="1">
      <c r="C487" s="366"/>
      <c r="D487" s="40"/>
      <c r="E487" s="40"/>
      <c r="F487" s="40"/>
      <c r="G487" s="1113" t="s">
        <v>2180</v>
      </c>
      <c r="H487" s="2604" t="s">
        <v>2125</v>
      </c>
      <c r="I487" s="1411" t="s">
        <v>1108</v>
      </c>
      <c r="J487" s="40" t="s">
        <v>2181</v>
      </c>
      <c r="K487" s="40"/>
      <c r="L487" s="366"/>
      <c r="M487" s="40"/>
      <c r="N487" s="2604"/>
      <c r="O487" s="1669"/>
      <c r="P487" s="1669"/>
      <c r="Q487" s="40"/>
    </row>
    <row r="488" spans="1:17" s="77" customFormat="1">
      <c r="C488" s="366"/>
      <c r="D488" s="40"/>
      <c r="E488" s="40"/>
      <c r="F488" s="40"/>
      <c r="G488" s="1113" t="s">
        <v>2182</v>
      </c>
      <c r="H488" s="2604">
        <v>2019</v>
      </c>
      <c r="I488" s="2604" t="s">
        <v>2129</v>
      </c>
      <c r="J488" s="40" t="s">
        <v>1725</v>
      </c>
      <c r="K488" s="40"/>
      <c r="L488" s="366"/>
      <c r="M488" s="40"/>
      <c r="N488" s="2604"/>
      <c r="O488" s="1669"/>
      <c r="P488" s="1669"/>
      <c r="Q488" s="40"/>
    </row>
    <row r="489" spans="1:17" s="77" customFormat="1">
      <c r="C489" s="40"/>
      <c r="D489" s="40"/>
      <c r="E489" s="40"/>
      <c r="F489" s="40"/>
      <c r="G489" s="1113" t="s">
        <v>2183</v>
      </c>
      <c r="H489" s="2604">
        <v>2019</v>
      </c>
      <c r="I489" s="2604" t="s">
        <v>2129</v>
      </c>
      <c r="J489" s="40" t="s">
        <v>2184</v>
      </c>
      <c r="K489" s="40"/>
      <c r="L489" s="366"/>
      <c r="M489" s="40"/>
      <c r="N489" s="2604"/>
      <c r="O489" s="1669"/>
      <c r="P489" s="1669"/>
      <c r="Q489" s="40"/>
    </row>
    <row r="490" spans="1:17" s="77" customFormat="1">
      <c r="C490" s="40"/>
      <c r="D490" s="40"/>
      <c r="E490" s="40"/>
      <c r="F490" s="40"/>
      <c r="G490" s="1113" t="s">
        <v>2185</v>
      </c>
      <c r="H490" s="2604">
        <v>2019</v>
      </c>
      <c r="I490" s="2604" t="s">
        <v>2129</v>
      </c>
      <c r="J490" s="40" t="s">
        <v>1727</v>
      </c>
      <c r="K490" s="40"/>
      <c r="L490" s="40"/>
      <c r="M490" s="40"/>
      <c r="N490" s="2604"/>
      <c r="O490" s="1669"/>
      <c r="P490" s="1669"/>
      <c r="Q490" s="40"/>
    </row>
    <row r="491" spans="1:17" s="77" customFormat="1">
      <c r="C491" s="40"/>
      <c r="D491" s="40"/>
      <c r="E491" s="40"/>
      <c r="F491" s="40"/>
      <c r="G491" s="1113" t="s">
        <v>2186</v>
      </c>
      <c r="H491" s="2604" t="s">
        <v>2125</v>
      </c>
      <c r="I491" s="1411" t="s">
        <v>1108</v>
      </c>
      <c r="J491" s="40" t="s">
        <v>2187</v>
      </c>
      <c r="K491" s="40"/>
      <c r="L491" s="366"/>
      <c r="M491" s="40"/>
      <c r="N491" s="2604"/>
      <c r="O491" s="1669"/>
      <c r="P491" s="1669"/>
      <c r="Q491" s="40"/>
    </row>
    <row r="492" spans="1:17" s="77" customFormat="1">
      <c r="C492" s="40"/>
      <c r="D492" s="40"/>
      <c r="E492" s="40"/>
      <c r="F492" s="40"/>
      <c r="G492" s="1113" t="s">
        <v>2188</v>
      </c>
      <c r="H492" s="2604">
        <v>2020</v>
      </c>
      <c r="I492" s="2604" t="s">
        <v>2129</v>
      </c>
      <c r="J492" s="40" t="s">
        <v>1729</v>
      </c>
      <c r="K492" s="40"/>
      <c r="L492" s="366"/>
      <c r="M492" s="40"/>
      <c r="N492" s="2604"/>
      <c r="O492" s="1669"/>
      <c r="P492" s="1669"/>
      <c r="Q492" s="40"/>
    </row>
    <row r="493" spans="1:17" s="77" customFormat="1">
      <c r="C493" s="40"/>
      <c r="D493" s="40"/>
      <c r="E493" s="40"/>
      <c r="F493" s="40"/>
      <c r="G493" s="1113" t="s">
        <v>2189</v>
      </c>
      <c r="H493" s="2604">
        <v>2020</v>
      </c>
      <c r="I493" s="2604" t="s">
        <v>2129</v>
      </c>
      <c r="J493" s="40" t="s">
        <v>2190</v>
      </c>
      <c r="K493" s="40"/>
      <c r="L493" s="40"/>
      <c r="M493" s="40"/>
      <c r="N493" s="2604"/>
      <c r="O493" s="1669"/>
      <c r="P493" s="1669"/>
      <c r="Q493" s="40"/>
    </row>
    <row r="494" spans="1:17" s="77" customFormat="1">
      <c r="C494" s="40"/>
      <c r="D494" s="526"/>
      <c r="E494" s="40"/>
      <c r="F494" s="40"/>
      <c r="G494" s="1113" t="s">
        <v>2191</v>
      </c>
      <c r="H494" s="2604" t="s">
        <v>2125</v>
      </c>
      <c r="I494" s="1411" t="s">
        <v>1108</v>
      </c>
      <c r="J494" s="40" t="s">
        <v>2192</v>
      </c>
      <c r="K494" s="40"/>
      <c r="L494" s="366"/>
      <c r="M494" s="40"/>
      <c r="N494" s="2604"/>
      <c r="O494" s="1669"/>
      <c r="P494" s="1669"/>
      <c r="Q494" s="40"/>
    </row>
    <row r="495" spans="1:17" s="77" customFormat="1">
      <c r="C495" s="40"/>
      <c r="D495" s="526"/>
      <c r="E495" s="40"/>
      <c r="F495" s="40"/>
      <c r="G495" s="1113" t="s">
        <v>2193</v>
      </c>
      <c r="H495" s="2604" t="s">
        <v>2125</v>
      </c>
      <c r="I495" s="1411" t="s">
        <v>1108</v>
      </c>
      <c r="J495" s="40" t="s">
        <v>2194</v>
      </c>
      <c r="K495" s="40"/>
      <c r="L495" s="366"/>
      <c r="M495" s="40"/>
      <c r="N495" s="2604"/>
      <c r="O495" s="1669"/>
      <c r="P495" s="1669"/>
      <c r="Q495" s="40"/>
    </row>
    <row r="496" spans="1:17" s="77" customFormat="1">
      <c r="C496" s="40"/>
      <c r="D496" s="40"/>
      <c r="E496" s="40"/>
      <c r="F496" s="40"/>
      <c r="G496" s="1113" t="s">
        <v>2195</v>
      </c>
      <c r="H496" s="2604">
        <v>2020</v>
      </c>
      <c r="I496" s="2604" t="s">
        <v>2129</v>
      </c>
      <c r="J496" s="40" t="s">
        <v>2196</v>
      </c>
      <c r="K496" s="40"/>
      <c r="L496" s="366"/>
      <c r="M496" s="40"/>
      <c r="N496" s="2604"/>
      <c r="O496" s="1669"/>
      <c r="P496" s="1669"/>
      <c r="Q496" s="40"/>
    </row>
    <row r="497" spans="3:17" s="77" customFormat="1">
      <c r="C497" s="40"/>
      <c r="D497" s="40"/>
      <c r="E497" s="40"/>
      <c r="F497" s="40"/>
      <c r="G497" s="1113" t="s">
        <v>2197</v>
      </c>
      <c r="H497" s="2604">
        <v>2019</v>
      </c>
      <c r="I497" s="2604" t="s">
        <v>2129</v>
      </c>
      <c r="J497" s="40" t="s">
        <v>2198</v>
      </c>
      <c r="K497" s="40"/>
      <c r="L497" s="40"/>
      <c r="M497" s="40"/>
      <c r="N497" s="2604"/>
      <c r="O497" s="1669"/>
      <c r="P497" s="1669"/>
      <c r="Q497" s="40"/>
    </row>
    <row r="498" spans="3:17" s="77" customFormat="1">
      <c r="C498" s="40"/>
      <c r="D498" s="40"/>
      <c r="E498" s="40"/>
      <c r="F498" s="40"/>
      <c r="G498" s="1113" t="s">
        <v>2199</v>
      </c>
      <c r="H498" s="2604">
        <v>2019</v>
      </c>
      <c r="I498" s="2604" t="s">
        <v>2129</v>
      </c>
      <c r="J498" s="40" t="s">
        <v>2200</v>
      </c>
      <c r="K498" s="40"/>
      <c r="L498" s="366"/>
      <c r="M498" s="40"/>
      <c r="N498" s="2604"/>
      <c r="O498" s="1669"/>
      <c r="P498" s="1669"/>
      <c r="Q498" s="40"/>
    </row>
    <row r="499" spans="3:17" s="77" customFormat="1">
      <c r="C499" s="40"/>
      <c r="D499" s="40"/>
      <c r="E499" s="40"/>
      <c r="F499" s="40"/>
      <c r="G499" s="1113" t="s">
        <v>2201</v>
      </c>
      <c r="H499" s="2604">
        <v>2020</v>
      </c>
      <c r="I499" s="2604" t="s">
        <v>2129</v>
      </c>
      <c r="J499" s="40" t="s">
        <v>2202</v>
      </c>
      <c r="K499" s="40"/>
      <c r="L499" s="366"/>
      <c r="M499" s="40"/>
      <c r="N499" s="2604"/>
      <c r="O499" s="1669"/>
      <c r="P499" s="1669"/>
      <c r="Q499" s="40"/>
    </row>
    <row r="500" spans="3:17" s="77" customFormat="1">
      <c r="C500" s="526"/>
      <c r="D500" s="40"/>
      <c r="E500" s="40"/>
      <c r="F500" s="40"/>
      <c r="G500" s="1113" t="s">
        <v>2203</v>
      </c>
      <c r="H500" s="2604">
        <v>2020</v>
      </c>
      <c r="I500" s="2604" t="s">
        <v>2129</v>
      </c>
      <c r="J500" s="40" t="s">
        <v>2204</v>
      </c>
      <c r="K500" s="40"/>
      <c r="L500" s="366"/>
      <c r="M500" s="40"/>
      <c r="N500" s="2604"/>
      <c r="O500" s="1669"/>
      <c r="P500" s="1669"/>
      <c r="Q500" s="40"/>
    </row>
    <row r="501" spans="3:17" s="77" customFormat="1">
      <c r="C501" s="526"/>
      <c r="D501" s="40"/>
      <c r="E501" s="40"/>
      <c r="F501" s="40"/>
      <c r="G501" s="1113" t="s">
        <v>2205</v>
      </c>
      <c r="H501" s="2604" t="s">
        <v>2125</v>
      </c>
      <c r="I501" s="1411" t="s">
        <v>1108</v>
      </c>
      <c r="J501" s="40"/>
      <c r="K501" s="40"/>
      <c r="L501" s="366"/>
      <c r="M501" s="40"/>
      <c r="N501" s="2604"/>
      <c r="O501" s="1669"/>
      <c r="P501" s="1669"/>
      <c r="Q501" s="40"/>
    </row>
    <row r="502" spans="3:17" s="77" customFormat="1">
      <c r="C502" s="526"/>
      <c r="D502" s="40"/>
      <c r="E502" s="40"/>
      <c r="F502" s="40"/>
      <c r="G502" s="1113" t="s">
        <v>2206</v>
      </c>
      <c r="H502" s="2604" t="s">
        <v>2125</v>
      </c>
      <c r="I502" s="1411" t="s">
        <v>1108</v>
      </c>
      <c r="J502" s="40"/>
      <c r="K502" s="40"/>
      <c r="L502" s="366"/>
      <c r="M502" s="40"/>
      <c r="N502" s="2604"/>
      <c r="O502" s="1669"/>
      <c r="P502" s="1669"/>
      <c r="Q502" s="40"/>
    </row>
    <row r="503" spans="3:17" s="77" customFormat="1">
      <c r="C503" s="526"/>
      <c r="D503" s="40"/>
      <c r="E503" s="40"/>
      <c r="F503" s="40"/>
      <c r="G503" s="1113" t="s">
        <v>2207</v>
      </c>
      <c r="H503" s="2604" t="s">
        <v>2125</v>
      </c>
      <c r="I503" s="1411" t="s">
        <v>1108</v>
      </c>
      <c r="J503" s="40"/>
      <c r="K503" s="40"/>
      <c r="L503" s="366"/>
      <c r="M503" s="40"/>
      <c r="N503" s="2604"/>
      <c r="O503" s="1669"/>
      <c r="P503" s="1669"/>
      <c r="Q503" s="40"/>
    </row>
    <row r="504" spans="3:17" s="77" customFormat="1">
      <c r="C504" s="526"/>
      <c r="D504" s="40"/>
      <c r="E504" s="40"/>
      <c r="F504" s="40"/>
      <c r="G504" s="1113" t="s">
        <v>2208</v>
      </c>
      <c r="H504" s="2604" t="s">
        <v>2125</v>
      </c>
      <c r="I504" s="1411" t="s">
        <v>1108</v>
      </c>
      <c r="J504" s="40"/>
      <c r="K504" s="40"/>
      <c r="L504" s="366"/>
      <c r="M504" s="40"/>
      <c r="N504" s="2604"/>
      <c r="O504" s="1669"/>
      <c r="P504" s="1669"/>
      <c r="Q504" s="40"/>
    </row>
    <row r="505" spans="3:17" s="77" customFormat="1">
      <c r="C505" s="526"/>
      <c r="D505" s="40"/>
      <c r="E505" s="40"/>
      <c r="F505" s="40"/>
      <c r="G505" s="1113" t="s">
        <v>2209</v>
      </c>
      <c r="H505" s="2604">
        <v>2020</v>
      </c>
      <c r="I505" s="2604" t="s">
        <v>2129</v>
      </c>
      <c r="J505" s="40"/>
      <c r="K505" s="40"/>
      <c r="L505" s="366"/>
      <c r="M505" s="40"/>
      <c r="N505" s="2604"/>
      <c r="O505" s="1669"/>
      <c r="P505" s="1669"/>
      <c r="Q505" s="40"/>
    </row>
    <row r="506" spans="3:17" s="77" customFormat="1">
      <c r="C506" s="526"/>
      <c r="D506" s="40"/>
      <c r="E506" s="40"/>
      <c r="F506" s="40"/>
      <c r="G506" s="1113" t="s">
        <v>2210</v>
      </c>
      <c r="H506" s="2604">
        <v>2020</v>
      </c>
      <c r="I506" s="2604" t="s">
        <v>2129</v>
      </c>
      <c r="J506" s="40"/>
      <c r="K506" s="40"/>
      <c r="L506" s="40"/>
      <c r="M506" s="40"/>
      <c r="N506" s="2604"/>
      <c r="O506" s="1669"/>
      <c r="P506" s="1669"/>
      <c r="Q506" s="40"/>
    </row>
    <row r="507" spans="3:17" s="77" customFormat="1">
      <c r="C507" s="40"/>
      <c r="D507" s="40"/>
      <c r="E507" s="40"/>
      <c r="F507" s="40"/>
      <c r="G507" s="1113" t="s">
        <v>2211</v>
      </c>
      <c r="H507" s="2604">
        <v>2019</v>
      </c>
      <c r="I507" s="2604" t="s">
        <v>2129</v>
      </c>
      <c r="J507" s="40"/>
      <c r="K507" s="40"/>
      <c r="L507" s="40"/>
      <c r="M507" s="40"/>
      <c r="N507" s="2604"/>
      <c r="O507" s="1669"/>
      <c r="P507" s="1669"/>
      <c r="Q507" s="40"/>
    </row>
    <row r="508" spans="3:17" s="77" customFormat="1">
      <c r="C508" s="40"/>
      <c r="D508" s="40"/>
      <c r="E508" s="40"/>
      <c r="F508" s="40"/>
      <c r="G508" s="1113" t="s">
        <v>2212</v>
      </c>
      <c r="H508" s="40"/>
      <c r="I508" s="40"/>
      <c r="J508" s="40"/>
      <c r="K508" s="40"/>
      <c r="L508" s="40"/>
      <c r="M508" s="40"/>
      <c r="N508" s="2604"/>
      <c r="O508" s="1669"/>
      <c r="P508" s="1669"/>
      <c r="Q508" s="40"/>
    </row>
    <row r="509" spans="3:17" s="77" customFormat="1">
      <c r="C509" s="40"/>
      <c r="D509" s="40"/>
      <c r="E509" s="40"/>
      <c r="F509" s="40"/>
      <c r="G509" s="1113" t="s">
        <v>2213</v>
      </c>
      <c r="H509" s="2604">
        <v>2019</v>
      </c>
      <c r="I509" s="2604" t="s">
        <v>2129</v>
      </c>
      <c r="J509" s="40"/>
      <c r="K509" s="40"/>
      <c r="L509" s="40"/>
      <c r="M509" s="40"/>
      <c r="N509" s="2604"/>
      <c r="O509" s="1669"/>
      <c r="P509" s="1669"/>
      <c r="Q509" s="40"/>
    </row>
    <row r="510" spans="3:17" s="77" customFormat="1">
      <c r="C510" s="40"/>
      <c r="D510" s="40"/>
      <c r="E510" s="40"/>
      <c r="F510" s="40"/>
      <c r="G510" s="1113" t="s">
        <v>2214</v>
      </c>
      <c r="H510" s="2604">
        <v>2020</v>
      </c>
      <c r="I510" s="2604" t="s">
        <v>2129</v>
      </c>
      <c r="J510" s="40"/>
      <c r="K510" s="40"/>
      <c r="L510" s="40"/>
      <c r="M510" s="40"/>
      <c r="N510" s="2604"/>
      <c r="O510" s="1669"/>
      <c r="P510" s="1669"/>
      <c r="Q510" s="40"/>
    </row>
    <row r="511" spans="3:17" s="77" customFormat="1">
      <c r="C511" s="40"/>
      <c r="D511" s="40"/>
      <c r="E511" s="40"/>
      <c r="F511" s="40"/>
      <c r="G511" s="1113" t="s">
        <v>2215</v>
      </c>
      <c r="H511" s="2604">
        <v>2020</v>
      </c>
      <c r="I511" s="2604" t="s">
        <v>2129</v>
      </c>
      <c r="J511" s="40"/>
      <c r="K511" s="40"/>
      <c r="L511" s="40"/>
      <c r="M511" s="40"/>
      <c r="N511" s="2604"/>
      <c r="O511" s="1669"/>
      <c r="P511" s="1669"/>
      <c r="Q511" s="40"/>
    </row>
    <row r="512" spans="3:17" s="77" customFormat="1">
      <c r="C512" s="40"/>
      <c r="D512" s="40"/>
      <c r="E512" s="40"/>
      <c r="F512" s="40"/>
      <c r="G512" s="1113" t="s">
        <v>2216</v>
      </c>
      <c r="H512" s="2604">
        <v>2020</v>
      </c>
      <c r="I512" s="2604" t="s">
        <v>2129</v>
      </c>
      <c r="J512" s="40"/>
      <c r="K512" s="40"/>
      <c r="L512" s="40"/>
      <c r="M512" s="40"/>
      <c r="N512" s="2604"/>
      <c r="O512" s="1669"/>
      <c r="P512" s="1669"/>
      <c r="Q512" s="40"/>
    </row>
    <row r="513" spans="3:17" s="77" customFormat="1">
      <c r="C513" s="40"/>
      <c r="D513" s="40"/>
      <c r="E513" s="40"/>
      <c r="F513" s="40"/>
      <c r="G513" s="1113" t="s">
        <v>2217</v>
      </c>
      <c r="H513" s="2604">
        <v>2019</v>
      </c>
      <c r="I513" s="2604" t="s">
        <v>2129</v>
      </c>
      <c r="J513" s="40"/>
      <c r="K513" s="40"/>
      <c r="L513" s="40"/>
      <c r="M513" s="40"/>
      <c r="N513" s="2604"/>
      <c r="O513" s="1669"/>
      <c r="P513" s="1669"/>
      <c r="Q513" s="40"/>
    </row>
    <row r="514" spans="3:17" s="77" customFormat="1">
      <c r="C514" s="40"/>
      <c r="D514" s="40"/>
      <c r="E514" s="40"/>
      <c r="F514" s="40"/>
      <c r="G514" s="1113" t="s">
        <v>2218</v>
      </c>
      <c r="H514" s="2604">
        <v>2020</v>
      </c>
      <c r="I514" s="2604" t="s">
        <v>2129</v>
      </c>
      <c r="J514" s="40"/>
      <c r="K514" s="40"/>
      <c r="L514" s="40"/>
      <c r="M514" s="40"/>
      <c r="N514" s="2604"/>
      <c r="O514" s="1669"/>
      <c r="P514" s="1669"/>
      <c r="Q514" s="40"/>
    </row>
    <row r="515" spans="3:17" s="77" customFormat="1">
      <c r="C515" s="40"/>
      <c r="D515" s="40"/>
      <c r="E515" s="40"/>
      <c r="F515" s="40"/>
      <c r="G515" s="1113" t="s">
        <v>2219</v>
      </c>
      <c r="H515" s="2604">
        <v>2020</v>
      </c>
      <c r="I515" s="2604" t="s">
        <v>2129</v>
      </c>
      <c r="J515" s="40"/>
      <c r="K515" s="40"/>
      <c r="L515" s="40"/>
      <c r="M515" s="40"/>
      <c r="N515" s="2604"/>
      <c r="O515" s="1669"/>
      <c r="P515" s="1669"/>
      <c r="Q515" s="40"/>
    </row>
    <row r="516" spans="3:17" s="77" customFormat="1">
      <c r="C516" s="40"/>
      <c r="D516" s="40"/>
      <c r="E516" s="40"/>
      <c r="F516" s="40"/>
      <c r="G516" s="1113" t="s">
        <v>2220</v>
      </c>
      <c r="H516" s="2604" t="s">
        <v>2125</v>
      </c>
      <c r="I516" s="1411" t="s">
        <v>1108</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zoomScale="150" zoomScaleNormal="150" workbookViewId="0">
      <selection activeCell="A13" sqref="A13"/>
    </sheetView>
  </sheetViews>
  <sheetFormatPr defaultColWidth="9.28515625" defaultRowHeight="12.9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25" customHeight="1">
      <c r="A2" s="4279" t="str">
        <f>CONCATENATE("Part I-Project Identification"," - ",$O$7," ",$F$26,", ",$F$27,", ",J27," County")</f>
        <v>Part I-Project Identification - 2024-0 Abbington Blue Ridge, Blue Ridge, Fannin County</v>
      </c>
      <c r="B2" s="4280"/>
      <c r="C2" s="4280"/>
      <c r="D2" s="4280"/>
      <c r="E2" s="4280"/>
      <c r="F2" s="4280"/>
      <c r="G2" s="4280"/>
      <c r="H2" s="4280"/>
      <c r="I2" s="4280"/>
      <c r="J2" s="4280"/>
      <c r="K2" s="4280"/>
      <c r="L2" s="4280"/>
      <c r="M2" s="4280"/>
      <c r="N2" s="4280"/>
      <c r="O2" s="4280"/>
      <c r="P2" s="4281"/>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2"/>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3"/>
      <c r="G7" s="136" t="s">
        <v>17</v>
      </c>
      <c r="H7" s="2512"/>
      <c r="I7" s="2512"/>
      <c r="J7" s="2512"/>
      <c r="K7" s="2511"/>
      <c r="L7" s="2511"/>
      <c r="M7" s="2511"/>
      <c r="N7" s="2511"/>
      <c r="O7" s="2678" t="s">
        <v>18</v>
      </c>
      <c r="P7" s="2679"/>
      <c r="Q7" s="4284" t="s">
        <v>19</v>
      </c>
      <c r="R7" s="4284"/>
      <c r="S7" s="4285"/>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5" customHeight="1">
      <c r="A10" s="151" t="s">
        <v>21</v>
      </c>
      <c r="B10" s="151" t="s">
        <v>22</v>
      </c>
      <c r="C10" s="2511"/>
      <c r="D10" s="96"/>
      <c r="E10" s="152"/>
      <c r="F10" s="2517" t="s">
        <v>23</v>
      </c>
      <c r="G10" s="2511"/>
      <c r="H10" s="2511"/>
      <c r="I10" s="4286">
        <f>'Part III-A-Uses of Funds'!$J$191</f>
        <v>1161542</v>
      </c>
      <c r="J10" s="4287"/>
      <c r="K10" s="2511"/>
      <c r="L10" s="2511" t="s">
        <v>24</v>
      </c>
      <c r="M10" s="2511"/>
      <c r="N10" s="2511"/>
      <c r="O10" s="4288">
        <f>'Part II-Sources of Funds'!$I$6</f>
        <v>0</v>
      </c>
      <c r="P10" s="4289"/>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ht="14.1">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4042504093</v>
      </c>
      <c r="G17" s="2641"/>
      <c r="H17" s="2642"/>
      <c r="I17" s="1676" t="s">
        <v>42</v>
      </c>
      <c r="J17" s="2518">
        <v>706</v>
      </c>
      <c r="K17" s="2511"/>
      <c r="L17" s="2511"/>
      <c r="M17" s="2517" t="s">
        <v>43</v>
      </c>
      <c r="N17" s="2640">
        <v>6785252634</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6785252634</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48</v>
      </c>
      <c r="G20" s="2674"/>
      <c r="H20" s="2675"/>
      <c r="I20" s="1675" t="s">
        <v>37</v>
      </c>
      <c r="J20" s="2644" t="s">
        <v>49</v>
      </c>
      <c r="K20" s="2645"/>
      <c r="L20" s="2669"/>
      <c r="M20" s="1460" t="s">
        <v>39</v>
      </c>
      <c r="N20" s="2673" t="s">
        <v>50</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4042504093</v>
      </c>
      <c r="G21" s="2641"/>
      <c r="H21" s="2642"/>
      <c r="I21" s="1676" t="s">
        <v>42</v>
      </c>
      <c r="J21" s="2518">
        <v>705</v>
      </c>
      <c r="K21" s="2511"/>
      <c r="L21" s="2511"/>
      <c r="M21" s="2517" t="s">
        <v>43</v>
      </c>
      <c r="N21" s="2640">
        <v>4042102384</v>
      </c>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51</v>
      </c>
      <c r="G22" s="2668"/>
      <c r="H22" s="2668"/>
      <c r="I22" s="2645"/>
      <c r="J22" s="2668"/>
      <c r="K22" s="2645"/>
      <c r="L22" s="2669"/>
      <c r="M22" s="2517" t="s">
        <v>46</v>
      </c>
      <c r="N22" s="2670">
        <v>4042102384</v>
      </c>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52</v>
      </c>
      <c r="B24" s="151" t="s">
        <v>53</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5" customHeight="1">
      <c r="A26" s="151"/>
      <c r="B26" s="2511" t="s">
        <v>54</v>
      </c>
      <c r="C26" s="2511"/>
      <c r="D26" s="151"/>
      <c r="E26" s="2511"/>
      <c r="F26" s="2644" t="s">
        <v>55</v>
      </c>
      <c r="G26" s="4290"/>
      <c r="H26" s="4290"/>
      <c r="I26" s="2645"/>
      <c r="J26" s="4290"/>
      <c r="K26" s="4291"/>
      <c r="L26" s="2511"/>
      <c r="M26" s="2517" t="s">
        <v>56</v>
      </c>
      <c r="N26" s="2511"/>
      <c r="O26" s="2511"/>
      <c r="P26" s="1461" t="s">
        <v>57</v>
      </c>
      <c r="Q26" s="2680"/>
      <c r="R26" s="2681"/>
      <c r="S26" s="2682"/>
      <c r="T26" s="2511"/>
      <c r="U26" s="2511"/>
      <c r="V26" s="2511"/>
      <c r="W26" s="2511"/>
      <c r="X26" s="2511"/>
      <c r="Y26" s="2511"/>
      <c r="Z26" s="1281">
        <v>26</v>
      </c>
      <c r="AA26" s="1382">
        <v>25</v>
      </c>
    </row>
    <row r="27" spans="1:27" s="95" customFormat="1">
      <c r="A27" s="269"/>
      <c r="B27" s="2511" t="s">
        <v>58</v>
      </c>
      <c r="C27" s="2511"/>
      <c r="D27" s="2511"/>
      <c r="E27" s="2511"/>
      <c r="F27" s="2646" t="s">
        <v>59</v>
      </c>
      <c r="G27" s="2647"/>
      <c r="H27" s="2648"/>
      <c r="I27" s="162" t="s">
        <v>60</v>
      </c>
      <c r="J27" s="2649" t="str">
        <f>IF(F27="","",VLOOKUP(F27,'DCA Underwriting Assumptions'!$T$166:$U$795,2,FALSE))</f>
        <v>Fannin</v>
      </c>
      <c r="K27" s="2650"/>
      <c r="L27" s="2511"/>
      <c r="M27" s="2517" t="s">
        <v>61</v>
      </c>
      <c r="N27" s="2511"/>
      <c r="O27" s="2511"/>
      <c r="P27" s="1513" t="s">
        <v>57</v>
      </c>
      <c r="Q27" s="2680"/>
      <c r="R27" s="2681"/>
      <c r="S27" s="2682"/>
      <c r="T27" s="2511"/>
      <c r="U27" s="269"/>
      <c r="V27" s="2511"/>
      <c r="W27" s="2511"/>
      <c r="X27" s="2511"/>
      <c r="Y27" s="2511"/>
      <c r="Z27" s="1281">
        <v>27</v>
      </c>
      <c r="AA27" s="1382">
        <v>26</v>
      </c>
    </row>
    <row r="28" spans="1:27" s="95" customFormat="1">
      <c r="A28" s="269"/>
      <c r="B28" s="2511" t="s">
        <v>62</v>
      </c>
      <c r="C28" s="157"/>
      <c r="D28" s="158"/>
      <c r="E28" s="158"/>
      <c r="F28" s="2646" t="s">
        <v>63</v>
      </c>
      <c r="G28" s="2651"/>
      <c r="H28" s="2652"/>
      <c r="I28" s="2512"/>
      <c r="J28" s="284" t="s">
        <v>64</v>
      </c>
      <c r="K28" s="2512"/>
      <c r="L28" s="2511"/>
      <c r="M28" s="2517" t="s">
        <v>65</v>
      </c>
      <c r="N28" s="2511"/>
      <c r="O28" s="2653">
        <v>11.52</v>
      </c>
      <c r="P28" s="2654"/>
      <c r="Q28" s="2680"/>
      <c r="R28" s="2681"/>
      <c r="S28" s="2682"/>
      <c r="T28" s="2511"/>
      <c r="U28" s="2511"/>
      <c r="V28" s="2511"/>
      <c r="W28" s="2511"/>
      <c r="X28" s="2511"/>
      <c r="Y28" s="2511"/>
      <c r="Z28" s="1281">
        <v>28</v>
      </c>
      <c r="AA28" s="1382">
        <v>27</v>
      </c>
    </row>
    <row r="29" spans="1:27" s="95" customFormat="1">
      <c r="A29" s="269"/>
      <c r="B29" s="2511" t="s">
        <v>66</v>
      </c>
      <c r="C29" s="2511"/>
      <c r="D29" s="2511"/>
      <c r="E29" s="2511"/>
      <c r="F29" s="922" t="s">
        <v>67</v>
      </c>
      <c r="G29" s="2510"/>
      <c r="H29" s="2511"/>
      <c r="I29" s="1512"/>
      <c r="J29" s="2512" t="s">
        <v>68</v>
      </c>
      <c r="K29" s="1514" t="str">
        <f>IF(F29="Yes","Rural","Urban")</f>
        <v>Rural</v>
      </c>
      <c r="L29" s="2511"/>
      <c r="M29" s="2517" t="s">
        <v>69</v>
      </c>
      <c r="N29" s="1515" t="str">
        <f>VLOOKUP($J$27,'DCA Underwriting Assumptions'!$G$166:$J$325,4)</f>
        <v>Non-MSA</v>
      </c>
      <c r="O29" s="2649" t="str">
        <f>IF($F$27="","",VLOOKUP($J$27,'DCA Underwriting Assumptions'!$G$166:$L$325,3,FALSE))</f>
        <v>Fannin Co.</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70</v>
      </c>
      <c r="B31" s="134" t="s">
        <v>71</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72</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73</v>
      </c>
      <c r="D35" s="163"/>
      <c r="E35" s="2511"/>
      <c r="F35" s="2511"/>
      <c r="G35" s="2511"/>
      <c r="H35" s="2511"/>
      <c r="I35" s="917"/>
      <c r="J35" s="2511"/>
      <c r="K35" s="151"/>
      <c r="L35" s="2511" t="s">
        <v>74</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75</v>
      </c>
      <c r="D36" s="2511"/>
      <c r="E36" s="2511"/>
      <c r="F36" s="2511"/>
      <c r="G36" s="2511"/>
      <c r="H36" s="2511"/>
      <c r="I36" s="1449"/>
      <c r="J36" s="162" t="s">
        <v>76</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77</v>
      </c>
      <c r="D37" s="2511"/>
      <c r="E37" s="2511"/>
      <c r="F37" s="2511"/>
      <c r="G37" s="2511"/>
      <c r="H37" s="2511"/>
      <c r="I37" s="917" t="s">
        <v>57</v>
      </c>
      <c r="J37" s="162" t="s">
        <v>76</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75" customHeight="1">
      <c r="A38" s="269"/>
      <c r="B38" s="269"/>
      <c r="C38" s="2511" t="s">
        <v>78</v>
      </c>
      <c r="D38" s="2511"/>
      <c r="E38" s="2511"/>
      <c r="F38" s="2511"/>
      <c r="G38" s="2511"/>
      <c r="H38" s="2511"/>
      <c r="I38" s="648" t="s">
        <v>57</v>
      </c>
      <c r="J38" s="162" t="s">
        <v>76</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79</v>
      </c>
      <c r="C41" s="159" t="s">
        <v>80</v>
      </c>
      <c r="M41" s="134" t="s">
        <v>81</v>
      </c>
      <c r="N41" s="159" t="s">
        <v>82</v>
      </c>
      <c r="Z41" s="1281">
        <v>41</v>
      </c>
      <c r="AA41" s="1382">
        <v>40</v>
      </c>
    </row>
    <row r="42" spans="1:27" ht="12" customHeight="1">
      <c r="A42" s="134"/>
      <c r="C42" s="159"/>
      <c r="M42" s="134"/>
      <c r="N42" s="159"/>
      <c r="Z42" s="1281">
        <v>42</v>
      </c>
      <c r="AA42" s="1382">
        <v>41</v>
      </c>
    </row>
    <row r="43" spans="1:27" ht="409.5" customHeight="1">
      <c r="A43" s="2661" t="s">
        <v>83</v>
      </c>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25"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84</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85</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86</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87</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88</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89</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90</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91</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92</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93</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94</v>
      </c>
      <c r="S470" s="295" t="s">
        <v>95</v>
      </c>
      <c r="T470" s="295" t="s">
        <v>96</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97</v>
      </c>
      <c r="S471" s="295" t="s">
        <v>98</v>
      </c>
      <c r="T471" s="296" t="s">
        <v>99</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100</v>
      </c>
      <c r="S472" s="295" t="s">
        <v>101</v>
      </c>
      <c r="T472" s="296" t="s">
        <v>99</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102</v>
      </c>
      <c r="S473" s="295" t="s">
        <v>103</v>
      </c>
      <c r="T473" s="296" t="s">
        <v>99</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104</v>
      </c>
      <c r="S474" s="295"/>
      <c r="T474" s="296" t="s">
        <v>99</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105</v>
      </c>
      <c r="S475" s="295" t="s">
        <v>106</v>
      </c>
      <c r="T475" s="296" t="s">
        <v>99</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107</v>
      </c>
      <c r="S476" s="295" t="s">
        <v>103</v>
      </c>
      <c r="T476" s="296" t="s">
        <v>99</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108</v>
      </c>
      <c r="S477" s="295" t="s">
        <v>109</v>
      </c>
      <c r="T477" s="296" t="s">
        <v>99</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110</v>
      </c>
      <c r="S478" s="295" t="s">
        <v>111</v>
      </c>
      <c r="T478" s="296" t="s">
        <v>99</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112</v>
      </c>
      <c r="S479" s="295" t="s">
        <v>113</v>
      </c>
      <c r="T479" s="296" t="s">
        <v>99</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114</v>
      </c>
      <c r="S480" s="295" t="s">
        <v>98</v>
      </c>
      <c r="T480" s="296" t="s">
        <v>99</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115</v>
      </c>
      <c r="S481" s="295" t="s">
        <v>116</v>
      </c>
      <c r="T481" s="296" t="s">
        <v>99</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117</v>
      </c>
      <c r="S482" s="295" t="s">
        <v>118</v>
      </c>
      <c r="T482" s="296" t="s">
        <v>99</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119</v>
      </c>
      <c r="S483" s="295" t="s">
        <v>120</v>
      </c>
      <c r="T483" s="296" t="s">
        <v>99</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121</v>
      </c>
      <c r="S484" s="295" t="s">
        <v>116</v>
      </c>
      <c r="T484" s="296" t="s">
        <v>99</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122</v>
      </c>
      <c r="S485" s="295" t="s">
        <v>123</v>
      </c>
      <c r="T485" s="296" t="s">
        <v>99</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124</v>
      </c>
      <c r="S486" s="295" t="s">
        <v>106</v>
      </c>
      <c r="T486" s="296" t="s">
        <v>99</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125</v>
      </c>
      <c r="S487" s="295" t="s">
        <v>126</v>
      </c>
      <c r="T487" s="296" t="s">
        <v>99</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127</v>
      </c>
      <c r="S488" s="295" t="s">
        <v>128</v>
      </c>
      <c r="T488" s="296" t="s">
        <v>99</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129</v>
      </c>
      <c r="S489" s="295" t="s">
        <v>98</v>
      </c>
      <c r="T489" s="296" t="s">
        <v>99</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130</v>
      </c>
      <c r="S490" s="295" t="s">
        <v>131</v>
      </c>
      <c r="T490" s="296" t="s">
        <v>99</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132</v>
      </c>
      <c r="S491" s="295" t="s">
        <v>133</v>
      </c>
      <c r="T491" s="296" t="s">
        <v>99</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134</v>
      </c>
      <c r="S492" s="295" t="s">
        <v>135</v>
      </c>
      <c r="T492" s="296" t="s">
        <v>99</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136</v>
      </c>
      <c r="S493" s="295" t="s">
        <v>137</v>
      </c>
      <c r="T493" s="296" t="s">
        <v>99</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138</v>
      </c>
      <c r="S494" s="295" t="s">
        <v>103</v>
      </c>
      <c r="T494" s="296" t="s">
        <v>99</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139</v>
      </c>
      <c r="S495" s="295" t="s">
        <v>140</v>
      </c>
      <c r="T495" s="296" t="s">
        <v>99</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141</v>
      </c>
      <c r="S496" s="295" t="s">
        <v>142</v>
      </c>
      <c r="T496" s="296" t="s">
        <v>99</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143</v>
      </c>
      <c r="S497" s="295" t="s">
        <v>137</v>
      </c>
      <c r="T497" s="296" t="s">
        <v>99</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144</v>
      </c>
      <c r="S498" s="295" t="s">
        <v>145</v>
      </c>
      <c r="T498" s="296" t="s">
        <v>99</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146</v>
      </c>
      <c r="S499" s="295" t="s">
        <v>133</v>
      </c>
      <c r="T499" s="296" t="s">
        <v>99</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147</v>
      </c>
      <c r="S500" s="273" t="s">
        <v>148</v>
      </c>
      <c r="T500" s="296" t="s">
        <v>99</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149</v>
      </c>
      <c r="S501" s="295" t="s">
        <v>123</v>
      </c>
      <c r="T501" s="296" t="s">
        <v>99</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150</v>
      </c>
      <c r="S502" s="295" t="s">
        <v>120</v>
      </c>
      <c r="T502" s="296" t="s">
        <v>99</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151</v>
      </c>
      <c r="S503" s="295"/>
      <c r="T503" s="296" t="s">
        <v>99</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152</v>
      </c>
      <c r="S504" s="295" t="s">
        <v>140</v>
      </c>
      <c r="T504" s="296" t="s">
        <v>99</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153</v>
      </c>
      <c r="S505" s="295" t="s">
        <v>154</v>
      </c>
      <c r="T505" s="296" t="s">
        <v>99</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155</v>
      </c>
      <c r="S506" s="295" t="s">
        <v>156</v>
      </c>
      <c r="T506" s="296" t="s">
        <v>99</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157</v>
      </c>
      <c r="S507" s="295" t="s">
        <v>98</v>
      </c>
      <c r="T507" s="296" t="s">
        <v>99</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158</v>
      </c>
      <c r="S508" s="295" t="s">
        <v>98</v>
      </c>
      <c r="T508" s="296" t="s">
        <v>99</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159</v>
      </c>
      <c r="S509" s="295" t="s">
        <v>98</v>
      </c>
      <c r="T509" s="296" t="s">
        <v>99</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160</v>
      </c>
      <c r="S510" s="295" t="s">
        <v>98</v>
      </c>
      <c r="T510" s="296" t="s">
        <v>99</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161</v>
      </c>
      <c r="S511" s="295" t="s">
        <v>162</v>
      </c>
      <c r="T511" s="296" t="s">
        <v>99</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163</v>
      </c>
      <c r="S512" s="295" t="s">
        <v>164</v>
      </c>
      <c r="T512" s="296" t="s">
        <v>99</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165</v>
      </c>
      <c r="S513" s="295" t="s">
        <v>166</v>
      </c>
      <c r="T513" s="296" t="s">
        <v>99</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167</v>
      </c>
      <c r="S514" s="295" t="s">
        <v>98</v>
      </c>
      <c r="T514" s="296" t="s">
        <v>99</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168</v>
      </c>
      <c r="S515" s="295" t="s">
        <v>169</v>
      </c>
      <c r="T515" s="296" t="s">
        <v>99</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170</v>
      </c>
      <c r="S516" s="295" t="s">
        <v>171</v>
      </c>
      <c r="T516" s="296" t="s">
        <v>99</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172</v>
      </c>
      <c r="S517" s="295" t="s">
        <v>173</v>
      </c>
      <c r="T517" s="296" t="s">
        <v>99</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174</v>
      </c>
      <c r="S518" s="295" t="s">
        <v>113</v>
      </c>
      <c r="T518" s="296" t="s">
        <v>99</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175</v>
      </c>
      <c r="S519" s="295" t="s">
        <v>137</v>
      </c>
      <c r="T519" s="296" t="s">
        <v>99</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176</v>
      </c>
      <c r="S520" s="295" t="s">
        <v>98</v>
      </c>
      <c r="T520" s="296" t="s">
        <v>99</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177</v>
      </c>
      <c r="S521" s="295" t="s">
        <v>178</v>
      </c>
      <c r="T521" s="296" t="s">
        <v>99</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179</v>
      </c>
      <c r="S522" s="295" t="s">
        <v>140</v>
      </c>
      <c r="T522" s="296" t="s">
        <v>99</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180</v>
      </c>
      <c r="S523" s="295" t="s">
        <v>131</v>
      </c>
      <c r="T523" s="296" t="s">
        <v>99</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181</v>
      </c>
      <c r="S524" s="295" t="s">
        <v>133</v>
      </c>
      <c r="T524" s="296" t="s">
        <v>99</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182</v>
      </c>
      <c r="S525" s="295" t="s">
        <v>98</v>
      </c>
      <c r="T525" s="296" t="s">
        <v>99</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183</v>
      </c>
      <c r="S526" s="295" t="s">
        <v>162</v>
      </c>
      <c r="T526" s="296" t="s">
        <v>99</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184</v>
      </c>
      <c r="S527" s="295" t="s">
        <v>123</v>
      </c>
      <c r="T527" s="296" t="s">
        <v>99</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185</v>
      </c>
      <c r="S528" s="295" t="s">
        <v>140</v>
      </c>
      <c r="T528" s="296" t="s">
        <v>99</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186</v>
      </c>
      <c r="S529" s="295" t="s">
        <v>140</v>
      </c>
      <c r="T529" s="296" t="s">
        <v>99</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9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c r="A1" s="4087" t="s">
        <v>3004</v>
      </c>
      <c r="B1" s="4087"/>
      <c r="C1" s="4087"/>
      <c r="D1" s="4087"/>
      <c r="E1" s="4087"/>
      <c r="F1" s="4087"/>
      <c r="G1" s="4087"/>
      <c r="H1" s="4087"/>
      <c r="I1" s="4087"/>
      <c r="J1" s="4087"/>
      <c r="K1" s="2612"/>
      <c r="L1" s="2612"/>
      <c r="M1" s="2612"/>
      <c r="N1" s="2612"/>
      <c r="O1" s="2612"/>
      <c r="P1" s="2612"/>
    </row>
    <row r="2" spans="1:16">
      <c r="A2" s="4087" t="str">
        <f>'Sensitivity Analysis'!C8</f>
        <v>Abbington Blue Ridge</v>
      </c>
      <c r="B2" s="4087"/>
      <c r="C2" s="4087"/>
      <c r="D2" s="4087"/>
      <c r="E2" s="4087"/>
      <c r="F2" s="4087"/>
      <c r="G2" s="4087"/>
      <c r="H2" s="4087"/>
      <c r="I2" s="4087"/>
      <c r="J2" s="4087"/>
      <c r="K2" s="2612"/>
      <c r="L2" s="2612"/>
      <c r="M2" s="2612"/>
      <c r="N2" s="2612"/>
      <c r="O2" s="2612"/>
      <c r="P2" s="2612"/>
    </row>
    <row r="3" spans="1:16">
      <c r="A3" s="4087" t="str">
        <f>'Subsidy Layering Memo'!F14</f>
        <v>Blue Ridge, Fannin</v>
      </c>
      <c r="B3" s="4087"/>
      <c r="C3" s="4087"/>
      <c r="D3" s="4087"/>
      <c r="E3" s="4087"/>
      <c r="F3" s="4087"/>
      <c r="G3" s="4087"/>
      <c r="H3" s="4087"/>
      <c r="I3" s="4087"/>
      <c r="J3" s="4087"/>
      <c r="K3" s="2612"/>
      <c r="L3" s="2612"/>
      <c r="M3" s="2612"/>
      <c r="N3" s="2612"/>
      <c r="O3" s="2612"/>
      <c r="P3" s="2612"/>
    </row>
    <row r="4" spans="1:16">
      <c r="A4" s="4088" t="s">
        <v>3005</v>
      </c>
      <c r="B4" s="4087"/>
      <c r="C4" s="4087"/>
      <c r="D4" s="4087"/>
      <c r="E4" s="4087"/>
      <c r="F4" s="4087"/>
      <c r="G4" s="4087"/>
      <c r="H4" s="4087"/>
      <c r="I4" s="4087"/>
      <c r="J4" s="4087"/>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c r="A7" s="4704" t="s">
        <v>3006</v>
      </c>
      <c r="B7" s="4704"/>
      <c r="C7" s="4705"/>
      <c r="D7" s="2612"/>
      <c r="E7" s="2612"/>
      <c r="F7" s="2612"/>
      <c r="G7" s="2612"/>
      <c r="H7" s="2612"/>
      <c r="I7" s="2612"/>
      <c r="J7" s="2612"/>
      <c r="K7" s="2612"/>
      <c r="L7" s="2612"/>
      <c r="M7" s="4089"/>
      <c r="N7" s="4089"/>
      <c r="O7" s="4089"/>
      <c r="P7" s="4089"/>
    </row>
    <row r="8" spans="1:16" ht="57" customHeight="1">
      <c r="A8" s="4090" t="s">
        <v>3007</v>
      </c>
      <c r="B8" s="4090"/>
      <c r="C8" s="4090"/>
      <c r="D8" s="4090"/>
      <c r="E8" s="4090"/>
      <c r="F8" s="4090"/>
      <c r="G8" s="4090"/>
      <c r="H8" s="4090"/>
      <c r="I8" s="4090"/>
      <c r="J8" s="4090"/>
      <c r="K8" s="369"/>
      <c r="L8" s="2612"/>
      <c r="M8" s="2612"/>
      <c r="N8" s="2612"/>
      <c r="O8" s="2612"/>
      <c r="P8" s="2612"/>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Blue Ridge, Fannin County, Georgia, with the development of 60 units set aside for &lt;&lt; Select PROPOSED Tenancy &gt;&gt;.</v>
      </c>
      <c r="B9" s="4090"/>
      <c r="C9" s="4090"/>
      <c r="D9" s="4090"/>
      <c r="E9" s="4090"/>
      <c r="F9" s="4090"/>
      <c r="G9" s="4090"/>
      <c r="H9" s="4090"/>
      <c r="I9" s="4090"/>
      <c r="J9" s="4090"/>
      <c r="K9" s="369"/>
      <c r="L9" s="2612"/>
      <c r="M9" s="2612"/>
      <c r="N9" s="2612"/>
      <c r="O9" s="2612"/>
      <c r="P9" s="2612"/>
    </row>
    <row r="10" spans="1:16">
      <c r="A10" s="2611" t="s">
        <v>3008</v>
      </c>
      <c r="B10" s="2612"/>
      <c r="C10" s="2612"/>
      <c r="D10" s="2612"/>
      <c r="E10" s="2612"/>
      <c r="F10" s="2612"/>
      <c r="G10" s="2612"/>
      <c r="H10" s="2612"/>
      <c r="I10" s="2612"/>
      <c r="J10" s="2612"/>
      <c r="K10" s="2612"/>
      <c r="L10" s="2612"/>
      <c r="M10" s="2612"/>
      <c r="N10" s="2612"/>
      <c r="O10" s="2612"/>
      <c r="P10" s="2612"/>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2"/>
      <c r="L11" s="2612"/>
      <c r="M11" s="2612"/>
      <c r="N11" s="2612"/>
      <c r="O11" s="2612"/>
      <c r="P11" s="2612"/>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2"/>
      <c r="L12" s="2612"/>
      <c r="M12" s="2612"/>
      <c r="N12" s="2612"/>
      <c r="O12" s="2612"/>
      <c r="P12" s="2612"/>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2"/>
      <c r="L13" s="2612"/>
      <c r="M13" s="2612"/>
      <c r="N13" s="2612"/>
      <c r="O13" s="2612"/>
      <c r="P13" s="2612"/>
    </row>
    <row r="14" spans="1:16">
      <c r="A14" s="2611" t="s">
        <v>3009</v>
      </c>
      <c r="B14" s="370"/>
      <c r="C14" s="2612"/>
      <c r="D14" s="2612"/>
      <c r="E14" s="2612"/>
      <c r="F14" s="2612"/>
      <c r="G14" s="2612"/>
      <c r="H14" s="2612"/>
      <c r="I14" s="2612"/>
      <c r="J14" s="2612"/>
      <c r="K14" s="2612"/>
      <c r="L14" s="2612"/>
      <c r="M14" s="2612"/>
      <c r="N14" s="2612"/>
      <c r="O14" s="2612"/>
      <c r="P14" s="2612"/>
    </row>
    <row r="15" spans="1:16">
      <c r="A15" s="2612" t="s">
        <v>3010</v>
      </c>
      <c r="B15" s="2612"/>
      <c r="C15" s="2612"/>
      <c r="D15" s="772" t="s">
        <v>3011</v>
      </c>
      <c r="E15" s="2612"/>
      <c r="F15" s="2612"/>
      <c r="G15" s="2612"/>
      <c r="H15" s="2612"/>
      <c r="I15" s="2612"/>
      <c r="J15" s="2612"/>
      <c r="K15" s="2612"/>
      <c r="L15" s="2612"/>
      <c r="M15" s="2612"/>
      <c r="N15" s="2612"/>
      <c r="O15" s="2612"/>
      <c r="P15" s="2612"/>
    </row>
    <row r="16" spans="1:16">
      <c r="A16" s="2612" t="s">
        <v>3012</v>
      </c>
      <c r="B16" s="2612"/>
      <c r="C16" s="2612"/>
      <c r="D16" s="919">
        <f>'Sensitivity Analysis'!C25</f>
        <v>2530000</v>
      </c>
      <c r="E16" s="2612"/>
      <c r="F16" s="2612"/>
      <c r="G16" s="2612"/>
      <c r="H16" s="2612"/>
      <c r="I16" s="2612"/>
      <c r="J16" s="2612"/>
      <c r="K16" s="2612"/>
      <c r="L16" s="2612"/>
      <c r="M16" s="2612"/>
      <c r="N16" s="2612"/>
      <c r="O16" s="2612"/>
      <c r="P16" s="2612"/>
    </row>
    <row r="17" spans="1:11">
      <c r="A17" s="371" t="s">
        <v>3013</v>
      </c>
      <c r="B17" s="2612"/>
      <c r="C17" s="2612"/>
      <c r="D17" s="920">
        <f>'Sensitivity Analysis'!C13</f>
        <v>60</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c r="A19" s="2611" t="s">
        <v>3014</v>
      </c>
      <c r="B19" s="370"/>
      <c r="C19" s="370"/>
      <c r="D19" s="2612"/>
      <c r="E19" s="2612"/>
      <c r="F19" s="2612"/>
      <c r="G19" s="2612"/>
      <c r="H19" s="2612"/>
      <c r="I19" s="2612"/>
      <c r="J19" s="2612"/>
      <c r="K19" s="2612"/>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2"/>
    </row>
    <row r="21" spans="1:11" ht="72.75" customHeight="1">
      <c r="A21" s="4090" t="str">
        <f>'Subsidy Layering Memo'!A67</f>
        <v xml:space="preserve"> will make a capital contribution totaling 9290472 via the syndication of the 2024 Federal LIHTC allocation of 1161542 per annum. will make a capital contribution totaling 5807710 via the syndication of the 2024 State LIHTC allocation of 1161542 per annum.</v>
      </c>
      <c r="B21" s="4090"/>
      <c r="C21" s="4090"/>
      <c r="D21" s="4090"/>
      <c r="E21" s="4090"/>
      <c r="F21" s="4090"/>
      <c r="G21" s="4090"/>
      <c r="H21" s="4090"/>
      <c r="I21" s="4090"/>
      <c r="J21" s="4090"/>
      <c r="K21" s="2612"/>
    </row>
    <row r="22" spans="1:11" ht="43.5" customHeight="1">
      <c r="A22" s="4094" t="str">
        <f>'Subsidy Layering Memo'!A68</f>
        <v xml:space="preserve">The total equity price per credit will be 1.3 (0.8 Federal tax credit and 0.5 State tax credit) for a (X%) ownership interest of the Federal Credits and a (X%) ownership interest of the State Credits. </v>
      </c>
      <c r="B22" s="4094"/>
      <c r="C22" s="4094"/>
      <c r="D22" s="4094"/>
      <c r="E22" s="4094"/>
      <c r="F22" s="4094"/>
      <c r="G22" s="4094"/>
      <c r="H22" s="4094"/>
      <c r="I22" s="4094"/>
      <c r="J22" s="4094"/>
      <c r="K22" s="2612"/>
    </row>
    <row r="23" spans="1:11">
      <c r="A23" s="2611" t="s">
        <v>3015</v>
      </c>
      <c r="B23" s="370"/>
      <c r="C23" s="370"/>
      <c r="D23" s="370"/>
      <c r="E23" s="370"/>
      <c r="F23" s="370"/>
      <c r="G23" s="2612"/>
      <c r="H23" s="2612"/>
      <c r="I23" s="2612"/>
      <c r="J23" s="2612"/>
      <c r="K23" s="2612"/>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2"/>
    </row>
    <row r="25" spans="1:11" ht="15" customHeight="1">
      <c r="A25" s="4091"/>
      <c r="B25" s="4091"/>
      <c r="C25" s="4091"/>
      <c r="D25" s="4091"/>
      <c r="E25" s="4091"/>
      <c r="F25" s="4091"/>
      <c r="G25" s="4091"/>
      <c r="H25" s="4091"/>
      <c r="I25" s="4091"/>
      <c r="J25" s="4091"/>
      <c r="K25" s="2612" t="s">
        <v>3016</v>
      </c>
    </row>
    <row r="26" spans="1:11" ht="15" customHeight="1">
      <c r="A26" s="2612"/>
      <c r="B26" s="2608"/>
      <c r="C26" s="2608"/>
      <c r="D26" s="2608"/>
      <c r="E26" s="2608"/>
      <c r="F26" s="2608"/>
      <c r="G26" s="2608"/>
      <c r="H26" s="2608"/>
      <c r="I26" s="2608" t="s">
        <v>3016</v>
      </c>
      <c r="J26" s="2608"/>
      <c r="K26" s="2612"/>
    </row>
    <row r="27" spans="1:11">
      <c r="A27" s="370" t="s">
        <v>3017</v>
      </c>
      <c r="B27" s="2612"/>
      <c r="C27" s="2612"/>
      <c r="D27" s="2612"/>
      <c r="E27" s="2612"/>
      <c r="F27" s="2612"/>
      <c r="G27" s="2612"/>
      <c r="H27" s="2612"/>
      <c r="I27" s="2612"/>
      <c r="J27" s="2612"/>
      <c r="K27" s="2612"/>
    </row>
    <row r="29" spans="1:11" ht="17.100000000000001" thickBot="1">
      <c r="A29" s="372"/>
      <c r="B29" s="372"/>
      <c r="C29" s="372"/>
      <c r="D29" s="372"/>
      <c r="E29" s="2612"/>
      <c r="F29" s="372"/>
      <c r="G29" s="372"/>
      <c r="H29" s="372"/>
      <c r="I29" s="372"/>
      <c r="J29" s="2612"/>
      <c r="K29" s="2612"/>
    </row>
    <row r="30" spans="1:11">
      <c r="A30" s="2612" t="s">
        <v>3018</v>
      </c>
      <c r="B30" s="2612"/>
      <c r="C30" s="2612"/>
      <c r="D30" s="2612" t="s">
        <v>2335</v>
      </c>
      <c r="E30" s="2612"/>
      <c r="F30" s="2612" t="s">
        <v>3019</v>
      </c>
      <c r="G30" s="2612"/>
      <c r="H30" s="2612"/>
      <c r="I30" s="2612" t="s">
        <v>2335</v>
      </c>
      <c r="J30" s="2612" t="s">
        <v>3016</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1"/>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42578125" style="376" customWidth="1"/>
    <col min="9" max="9" width="28.42578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42578125" style="376" customWidth="1"/>
    <col min="16" max="16384" width="9.28515625" style="376"/>
  </cols>
  <sheetData>
    <row r="2" spans="1:10">
      <c r="A2" s="373" t="s">
        <v>3020</v>
      </c>
      <c r="B2" s="374"/>
      <c r="C2" s="374"/>
      <c r="D2" s="374"/>
      <c r="E2" s="375"/>
      <c r="F2" s="374"/>
      <c r="G2" s="374"/>
      <c r="H2" s="374"/>
      <c r="I2" s="374"/>
      <c r="J2" s="374"/>
    </row>
    <row r="3" spans="1:10">
      <c r="A3" s="377"/>
    </row>
    <row r="4" spans="1:10">
      <c r="A4" s="377" t="s">
        <v>3021</v>
      </c>
      <c r="D4" s="376" t="s">
        <v>3022</v>
      </c>
    </row>
    <row r="5" spans="1:10">
      <c r="A5" s="377"/>
    </row>
    <row r="6" spans="1:10">
      <c r="A6" s="377" t="s">
        <v>3023</v>
      </c>
      <c r="D6" s="376" t="s">
        <v>3024</v>
      </c>
    </row>
    <row r="7" spans="1:10">
      <c r="A7" s="377"/>
    </row>
    <row r="8" spans="1:10">
      <c r="A8" s="377" t="s">
        <v>3025</v>
      </c>
      <c r="D8" s="378" t="s">
        <v>3026</v>
      </c>
    </row>
    <row r="9" spans="1:10">
      <c r="A9" s="377"/>
    </row>
    <row r="10" spans="1:10">
      <c r="A10" s="377" t="s">
        <v>3027</v>
      </c>
      <c r="D10" s="378" t="s">
        <v>3028</v>
      </c>
    </row>
    <row r="11" spans="1:10">
      <c r="A11" s="377"/>
      <c r="D11" s="2613"/>
    </row>
    <row r="12" spans="1:10">
      <c r="A12" s="377" t="s">
        <v>3029</v>
      </c>
      <c r="D12" s="376" t="s">
        <v>54</v>
      </c>
      <c r="F12" s="2613" t="str">
        <f>'Sensitivity Analysis'!$C$8</f>
        <v>Abbington Blue Ridge</v>
      </c>
    </row>
    <row r="13" spans="1:10">
      <c r="A13" s="377"/>
      <c r="D13" s="376" t="s">
        <v>3030</v>
      </c>
      <c r="F13" s="2613" t="str">
        <f>'Sensitivity Analysis'!E8</f>
        <v>2024-0</v>
      </c>
    </row>
    <row r="14" spans="1:10">
      <c r="A14" s="377"/>
      <c r="D14" s="376" t="s">
        <v>3031</v>
      </c>
      <c r="F14" s="2613" t="str">
        <f>'Sensitivity Analysis'!H8</f>
        <v>Blue Ridge, Fannin</v>
      </c>
    </row>
    <row r="15" spans="1:10">
      <c r="A15" s="377"/>
      <c r="D15" s="376" t="s">
        <v>3032</v>
      </c>
      <c r="F15" s="4103">
        <f>'Sensitivity Analysis'!$C$25</f>
        <v>2530000</v>
      </c>
      <c r="G15" s="4103"/>
      <c r="H15" s="4103"/>
    </row>
    <row r="16" spans="1:10">
      <c r="D16" s="379" t="s">
        <v>3033</v>
      </c>
      <c r="F16" s="1999">
        <f>'Sensitivity Analysis'!C13</f>
        <v>60</v>
      </c>
      <c r="G16" s="1997">
        <f>'Sensitivity Analysis'!E13</f>
        <v>54</v>
      </c>
      <c r="H16" s="1998">
        <f>ProrationMethodCostAllocatnDCA!$D$64</f>
        <v>0</v>
      </c>
    </row>
    <row r="17" spans="1:18">
      <c r="A17" s="379"/>
      <c r="D17" s="379" t="s">
        <v>3034</v>
      </c>
      <c r="F17" s="380" t="str">
        <f>'Sensitivity Analysis'!C14</f>
        <v>&lt;&lt; Select PROPOSED Tenancy &gt;&gt;</v>
      </c>
    </row>
    <row r="18" spans="1:18">
      <c r="A18" s="377"/>
      <c r="D18" s="379" t="s">
        <v>3035</v>
      </c>
      <c r="F18" s="2613" t="str">
        <f>'Sensitivity Analysis'!H15</f>
        <v>Rural</v>
      </c>
    </row>
    <row r="19" spans="1:18">
      <c r="A19" s="377"/>
      <c r="D19" s="379" t="s">
        <v>3036</v>
      </c>
      <c r="F19" s="2613">
        <f>'Sensitivity Analysis'!E16</f>
        <v>0</v>
      </c>
    </row>
    <row r="20" spans="1:18">
      <c r="A20" s="377"/>
      <c r="D20" s="379"/>
    </row>
    <row r="21" spans="1:18">
      <c r="A21" s="2616" t="s">
        <v>3037</v>
      </c>
    </row>
    <row r="22" spans="1:18" ht="111.75" customHeight="1">
      <c r="A22" s="4096" t="s">
        <v>3038</v>
      </c>
      <c r="B22" s="4096"/>
      <c r="C22" s="4096"/>
      <c r="D22" s="4096"/>
      <c r="E22" s="4096"/>
      <c r="F22" s="4096"/>
      <c r="G22" s="4096"/>
      <c r="H22" s="4096"/>
      <c r="I22" s="4096"/>
      <c r="J22" s="4096"/>
      <c r="K22" s="4095" t="s">
        <v>3039</v>
      </c>
      <c r="L22" s="4095"/>
      <c r="M22" s="4095"/>
      <c r="N22" s="4095"/>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c r="A26" s="2616" t="s">
        <v>3040</v>
      </c>
    </row>
    <row r="27" spans="1:18" ht="14.25" customHeight="1">
      <c r="A27" s="4098" t="s">
        <v>3041</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7"/>
      <c r="B35" s="2617"/>
      <c r="C35" s="2617"/>
      <c r="D35" s="2617"/>
      <c r="E35" s="2617"/>
      <c r="F35" s="2617"/>
      <c r="G35" s="2617"/>
      <c r="H35" s="2617"/>
      <c r="I35" s="2617"/>
      <c r="J35" s="2617"/>
    </row>
    <row r="36" spans="1:10" ht="19.5" customHeight="1">
      <c r="A36" s="4097" t="s">
        <v>3042</v>
      </c>
      <c r="B36" s="4097"/>
      <c r="C36" s="4097"/>
      <c r="D36" s="2607"/>
      <c r="E36" s="2607"/>
      <c r="F36" s="2607"/>
      <c r="G36" s="2607"/>
      <c r="H36" s="2607"/>
      <c r="I36" s="2607"/>
      <c r="J36" s="2607"/>
    </row>
    <row r="37" spans="1:10" ht="22.5" customHeight="1">
      <c r="A37" s="4094" t="s">
        <v>1509</v>
      </c>
      <c r="B37" s="4094"/>
      <c r="C37" s="4094"/>
      <c r="D37" s="4094"/>
      <c r="E37" s="4094"/>
      <c r="F37" s="4094"/>
      <c r="G37" s="4094"/>
      <c r="H37" s="4094"/>
      <c r="I37" s="4094"/>
      <c r="J37" s="4094"/>
    </row>
    <row r="38" spans="1:10" ht="22.5" customHeight="1">
      <c r="A38" s="4094" t="s">
        <v>1512</v>
      </c>
      <c r="B38" s="4094"/>
      <c r="C38" s="4094"/>
      <c r="D38" s="4094"/>
      <c r="E38" s="4094"/>
      <c r="F38" s="4094"/>
      <c r="G38" s="4094"/>
      <c r="H38" s="4094"/>
      <c r="I38" s="4094"/>
      <c r="J38" s="4094"/>
    </row>
    <row r="39" spans="1:10" ht="22.5" customHeight="1">
      <c r="A39" s="4094" t="s">
        <v>1514</v>
      </c>
      <c r="B39" s="4094"/>
      <c r="C39" s="4094"/>
      <c r="D39" s="4094"/>
      <c r="E39" s="4094"/>
      <c r="F39" s="4094"/>
      <c r="G39" s="4094"/>
      <c r="H39" s="4094"/>
      <c r="I39" s="4094"/>
      <c r="J39" s="4094"/>
    </row>
    <row r="40" spans="1:10" ht="22.5" customHeight="1">
      <c r="A40" s="4094" t="s">
        <v>1516</v>
      </c>
      <c r="B40" s="4094"/>
      <c r="C40" s="4094"/>
      <c r="D40" s="4094"/>
      <c r="E40" s="4094"/>
      <c r="F40" s="4094"/>
      <c r="G40" s="4094"/>
      <c r="H40" s="4094"/>
      <c r="I40" s="4094"/>
      <c r="J40" s="4094"/>
    </row>
    <row r="41" spans="1:10" ht="22.5" customHeight="1">
      <c r="A41" s="4094" t="s">
        <v>2314</v>
      </c>
      <c r="B41" s="4094"/>
      <c r="C41" s="4094"/>
      <c r="D41" s="4094"/>
      <c r="E41" s="4094"/>
      <c r="F41" s="4094"/>
      <c r="G41" s="4094"/>
      <c r="H41" s="4094"/>
      <c r="I41" s="4094"/>
      <c r="J41" s="4094"/>
    </row>
    <row r="42" spans="1:10" ht="22.5" customHeight="1">
      <c r="A42" s="4094" t="s">
        <v>2316</v>
      </c>
      <c r="B42" s="4094"/>
      <c r="C42" s="4094"/>
      <c r="D42" s="4094"/>
      <c r="E42" s="4094"/>
      <c r="F42" s="4094"/>
      <c r="G42" s="4094"/>
      <c r="H42" s="4094"/>
      <c r="I42" s="4094"/>
      <c r="J42" s="4094"/>
    </row>
    <row r="43" spans="1:10" ht="22.5" customHeight="1">
      <c r="A43" s="4094" t="s">
        <v>2318</v>
      </c>
      <c r="B43" s="4094"/>
      <c r="C43" s="4094"/>
      <c r="D43" s="4094"/>
      <c r="E43" s="4094"/>
      <c r="F43" s="4094"/>
      <c r="G43" s="4094"/>
      <c r="H43" s="4094"/>
      <c r="I43" s="4094"/>
      <c r="J43" s="4094"/>
    </row>
    <row r="44" spans="1:10" ht="22.5" customHeight="1">
      <c r="A44" s="4094" t="s">
        <v>2320</v>
      </c>
      <c r="B44" s="4094"/>
      <c r="C44" s="4094"/>
      <c r="D44" s="4094"/>
      <c r="E44" s="4094"/>
      <c r="F44" s="4094"/>
      <c r="G44" s="4094"/>
      <c r="H44" s="4094"/>
      <c r="I44" s="4094"/>
      <c r="J44" s="4094"/>
    </row>
    <row r="45" spans="1:10" ht="2.25" customHeight="1">
      <c r="A45" s="2607"/>
      <c r="B45" s="2607"/>
      <c r="C45" s="2607"/>
      <c r="D45" s="2607"/>
      <c r="E45" s="2607"/>
      <c r="F45" s="2607"/>
      <c r="G45" s="2607"/>
      <c r="H45" s="2607"/>
      <c r="I45" s="2607"/>
      <c r="J45" s="2607"/>
    </row>
    <row r="46" spans="1:10">
      <c r="A46" s="2616" t="s">
        <v>3043</v>
      </c>
    </row>
    <row r="47" spans="1:10" ht="135" customHeight="1">
      <c r="A47" s="4094" t="s">
        <v>3044</v>
      </c>
      <c r="B47" s="4094"/>
      <c r="C47" s="4094"/>
      <c r="D47" s="4094"/>
      <c r="E47" s="4094"/>
      <c r="F47" s="4094"/>
      <c r="G47" s="4094"/>
      <c r="H47" s="4094"/>
      <c r="I47" s="4094"/>
      <c r="J47" s="4094"/>
    </row>
    <row r="48" spans="1:10" ht="6" customHeight="1">
      <c r="A48" s="2609"/>
      <c r="B48" s="2609"/>
      <c r="C48" s="2609"/>
      <c r="D48" s="2609"/>
      <c r="E48" s="2609"/>
      <c r="F48" s="2609"/>
      <c r="G48" s="2609"/>
      <c r="H48" s="2609"/>
      <c r="I48" s="2609"/>
      <c r="J48" s="2609"/>
    </row>
    <row r="49" spans="1:12">
      <c r="A49" s="2616" t="s">
        <v>3045</v>
      </c>
    </row>
    <row r="50" spans="1:12" ht="33" customHeight="1">
      <c r="A50" s="4090" t="s">
        <v>3046</v>
      </c>
      <c r="B50" s="4092"/>
      <c r="C50" s="4092"/>
      <c r="D50" s="4092"/>
      <c r="E50" s="4092"/>
      <c r="F50" s="4092"/>
      <c r="G50" s="4092"/>
      <c r="H50" s="4092"/>
      <c r="I50" s="4092"/>
      <c r="J50" s="4090"/>
    </row>
    <row r="51" spans="1:12" ht="3" customHeight="1"/>
    <row r="52" spans="1:12" ht="72.75" customHeight="1">
      <c r="A52" s="4090" t="s">
        <v>3047</v>
      </c>
      <c r="B52" s="4090"/>
      <c r="C52" s="4090"/>
      <c r="D52" s="4090"/>
      <c r="E52" s="4090"/>
      <c r="F52" s="4090"/>
      <c r="G52" s="4090"/>
      <c r="H52" s="4090"/>
      <c r="I52" s="4090"/>
      <c r="J52" s="4090"/>
    </row>
    <row r="53" spans="1:12" ht="3" customHeight="1">
      <c r="A53" s="2607"/>
      <c r="B53" s="2607"/>
      <c r="C53" s="2607"/>
      <c r="D53" s="2607"/>
      <c r="E53" s="2607"/>
      <c r="F53" s="2607"/>
      <c r="G53" s="2607"/>
      <c r="H53" s="2607"/>
      <c r="I53" s="2607"/>
      <c r="J53" s="2607"/>
    </row>
    <row r="54" spans="1:12" ht="56.25" customHeight="1">
      <c r="A54" s="4090" t="s">
        <v>3048</v>
      </c>
      <c r="B54" s="4090"/>
      <c r="C54" s="4090"/>
      <c r="D54" s="4090"/>
      <c r="E54" s="4090"/>
      <c r="F54" s="4090"/>
      <c r="G54" s="4090"/>
      <c r="H54" s="4090"/>
      <c r="I54" s="4090"/>
      <c r="J54" s="4090"/>
    </row>
    <row r="55" spans="1:12" ht="3" customHeight="1">
      <c r="A55" s="2607"/>
      <c r="B55" s="2607"/>
      <c r="C55" s="2607"/>
      <c r="D55" s="2607"/>
      <c r="E55" s="2607"/>
      <c r="F55" s="2607"/>
      <c r="G55" s="2607"/>
      <c r="H55" s="2607"/>
      <c r="I55" s="2607"/>
      <c r="J55" s="2607"/>
    </row>
    <row r="56" spans="1:12" ht="49.5" customHeight="1">
      <c r="A56" s="4090" t="s">
        <v>3049</v>
      </c>
      <c r="B56" s="4090"/>
      <c r="C56" s="4090"/>
      <c r="D56" s="4090"/>
      <c r="E56" s="4090"/>
      <c r="F56" s="4090"/>
      <c r="G56" s="4090"/>
      <c r="H56" s="4090"/>
      <c r="I56" s="4090"/>
      <c r="J56" s="2607"/>
    </row>
    <row r="57" spans="1:12" ht="3" customHeight="1">
      <c r="A57" s="2607"/>
      <c r="B57" s="2607"/>
      <c r="C57" s="2607"/>
      <c r="D57" s="2607"/>
      <c r="E57" s="2607"/>
      <c r="F57" s="2607"/>
      <c r="G57" s="2607"/>
      <c r="H57" s="2607"/>
      <c r="I57" s="2607"/>
      <c r="J57" s="2607"/>
    </row>
    <row r="58" spans="1:12" ht="54.75" customHeight="1">
      <c r="A58" s="4108" t="s">
        <v>3050</v>
      </c>
      <c r="B58" s="4090"/>
      <c r="C58" s="4090"/>
      <c r="D58" s="4090"/>
      <c r="E58" s="4090"/>
      <c r="F58" s="4090"/>
      <c r="G58" s="4090"/>
      <c r="H58" s="4090"/>
      <c r="I58" s="4090"/>
      <c r="J58" s="2607"/>
    </row>
    <row r="59" spans="1:12" ht="3" customHeight="1">
      <c r="A59" s="2607"/>
      <c r="B59" s="2607"/>
      <c r="C59" s="2607"/>
      <c r="D59" s="2607"/>
      <c r="E59" s="2607"/>
      <c r="F59" s="2607"/>
      <c r="G59" s="2607"/>
      <c r="H59" s="2607"/>
      <c r="I59" s="2607"/>
      <c r="J59" s="2607"/>
    </row>
    <row r="60" spans="1:12" ht="62.25" customHeight="1">
      <c r="A60" s="4090" t="s">
        <v>3051</v>
      </c>
      <c r="B60" s="4090"/>
      <c r="C60" s="4090"/>
      <c r="D60" s="4090"/>
      <c r="E60" s="4090"/>
      <c r="F60" s="4090"/>
      <c r="G60" s="4090"/>
      <c r="H60" s="4090"/>
      <c r="I60" s="4090"/>
      <c r="J60" s="4090"/>
    </row>
    <row r="61" spans="1:12" ht="3" customHeight="1"/>
    <row r="62" spans="1:12" ht="73.5" customHeight="1">
      <c r="A62" s="4090" t="s">
        <v>3052</v>
      </c>
      <c r="B62" s="4090"/>
      <c r="C62" s="4090"/>
      <c r="D62" s="4090"/>
      <c r="E62" s="4090"/>
      <c r="F62" s="4090"/>
      <c r="G62" s="4090"/>
      <c r="H62" s="4090"/>
      <c r="I62" s="4090"/>
      <c r="J62" s="4090"/>
    </row>
    <row r="63" spans="1:12" ht="6" customHeight="1">
      <c r="A63" s="2607" t="s">
        <v>3016</v>
      </c>
      <c r="B63" s="2607"/>
      <c r="C63" s="2607"/>
      <c r="D63" s="2607"/>
      <c r="E63" s="2607"/>
      <c r="F63" s="2607"/>
      <c r="G63" s="2607"/>
      <c r="H63" s="2607"/>
      <c r="I63" s="2607"/>
      <c r="J63" s="2607"/>
    </row>
    <row r="64" spans="1:12">
      <c r="A64" s="2616" t="s">
        <v>3053</v>
      </c>
      <c r="L64" s="382" t="s">
        <v>3054</v>
      </c>
    </row>
    <row r="65" spans="1:17" ht="46.5" customHeight="1">
      <c r="A65" s="4096" t="s">
        <v>3055</v>
      </c>
      <c r="B65" s="4096"/>
      <c r="C65" s="4096"/>
      <c r="D65" s="4096"/>
      <c r="E65" s="4096"/>
      <c r="F65" s="4096"/>
      <c r="G65" s="4096"/>
      <c r="H65" s="4096"/>
      <c r="I65" s="4096"/>
      <c r="J65" s="4096"/>
      <c r="L65" s="383">
        <f>'Closing term sheet'!C135</f>
        <v>627767.5</v>
      </c>
      <c r="M65" s="384"/>
      <c r="N65" s="384"/>
      <c r="O65" s="384"/>
    </row>
    <row r="66" spans="1:17" ht="7.5" customHeight="1">
      <c r="A66" s="2607"/>
      <c r="B66" s="2607"/>
      <c r="C66" s="2607"/>
      <c r="D66" s="2607"/>
      <c r="E66" s="2607"/>
      <c r="F66" s="2607"/>
      <c r="G66" s="2607"/>
      <c r="H66" s="2607"/>
      <c r="I66" s="2607"/>
      <c r="J66" s="2607"/>
      <c r="L66" s="385" t="s">
        <v>3056</v>
      </c>
      <c r="M66" s="386" t="s">
        <v>3057</v>
      </c>
      <c r="N66" s="387" t="s">
        <v>3058</v>
      </c>
      <c r="O66" s="385" t="s">
        <v>3059</v>
      </c>
      <c r="P66" s="386" t="s">
        <v>3060</v>
      </c>
      <c r="Q66" s="387" t="s">
        <v>3061</v>
      </c>
    </row>
    <row r="67" spans="1:17" ht="78.75" customHeight="1">
      <c r="A67" s="409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9290472 via the syndication of the 2024 Federal LIHTC allocation of 1161542 per annum. will make a capital contribution totaling 5807710 via the syndication of the 2024 State LIHTC allocation of 1161542 per annum.</v>
      </c>
      <c r="B67" s="4090"/>
      <c r="C67" s="4090"/>
      <c r="D67" s="4090"/>
      <c r="E67" s="4090"/>
      <c r="F67" s="4090"/>
      <c r="G67" s="4090"/>
      <c r="H67" s="4090"/>
      <c r="I67" s="4090"/>
      <c r="J67" s="388"/>
      <c r="L67" s="2000">
        <f>'Part II-Sources of Funds'!I51</f>
        <v>9290472</v>
      </c>
      <c r="M67" s="2001">
        <f>'Part III-A-Uses of Funds'!$J$191</f>
        <v>1161542</v>
      </c>
      <c r="N67" s="2002">
        <f>'Part III-A-Uses of Funds'!N182</f>
        <v>0.8</v>
      </c>
      <c r="O67" s="2000">
        <f>'Part II-Sources of Funds'!I52</f>
        <v>5807710</v>
      </c>
      <c r="P67" s="2001">
        <f>M67</f>
        <v>1161542</v>
      </c>
      <c r="Q67" s="2002">
        <f>'Part III-A-Uses of Funds'!Q182</f>
        <v>0.5</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 Federal tax credit and 0.5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3062</v>
      </c>
    </row>
    <row r="70" spans="1:17" ht="177" customHeight="1">
      <c r="A70" s="4090" t="s">
        <v>3063</v>
      </c>
      <c r="B70" s="4090"/>
      <c r="C70" s="4090"/>
      <c r="D70" s="4090"/>
      <c r="E70" s="4090"/>
      <c r="F70" s="4090"/>
      <c r="G70" s="4090"/>
      <c r="H70" s="4090"/>
      <c r="I70" s="4090"/>
      <c r="J70" s="4090"/>
      <c r="L70" s="390">
        <f>'Part VI-Pro Forma'!K72</f>
        <v>2027890.2309035002</v>
      </c>
      <c r="M70" s="4102" t="s">
        <v>3064</v>
      </c>
      <c r="N70" s="4095"/>
    </row>
    <row r="71" spans="1:17" ht="6" customHeight="1">
      <c r="A71" s="2616"/>
    </row>
    <row r="72" spans="1:17">
      <c r="A72" s="2616" t="s">
        <v>3065</v>
      </c>
    </row>
    <row r="73" spans="1:17" ht="72.75" customHeight="1">
      <c r="A73" s="4090" t="s">
        <v>3066</v>
      </c>
      <c r="B73" s="4090"/>
      <c r="C73" s="4090"/>
      <c r="D73" s="4090"/>
      <c r="E73" s="4090"/>
      <c r="F73" s="4090"/>
      <c r="G73" s="4090"/>
      <c r="H73" s="4090"/>
      <c r="I73" s="4090"/>
      <c r="J73" s="4090"/>
    </row>
    <row r="74" spans="1:17" ht="36" customHeight="1">
      <c r="A74" s="4090" t="s">
        <v>3067</v>
      </c>
      <c r="B74" s="4090"/>
      <c r="C74" s="4090"/>
      <c r="D74" s="4090"/>
      <c r="E74" s="4090"/>
      <c r="F74" s="4090"/>
      <c r="G74" s="4090"/>
      <c r="H74" s="4090"/>
      <c r="I74" s="4090"/>
      <c r="J74" s="4090"/>
    </row>
    <row r="75" spans="1:17" ht="6" customHeight="1">
      <c r="A75" s="2616"/>
    </row>
    <row r="76" spans="1:17">
      <c r="A76" s="2616" t="s">
        <v>3068</v>
      </c>
    </row>
    <row r="77" spans="1:17" ht="105.75" customHeight="1">
      <c r="A77" s="4090" t="s">
        <v>3069</v>
      </c>
      <c r="B77" s="4090"/>
      <c r="C77" s="4090"/>
      <c r="D77" s="4090"/>
      <c r="E77" s="4090"/>
      <c r="F77" s="4090"/>
      <c r="G77" s="4090"/>
      <c r="H77" s="4090"/>
      <c r="I77" s="4090"/>
      <c r="J77" s="4090"/>
    </row>
    <row r="78" spans="1:17" ht="6" customHeight="1">
      <c r="A78" s="2616"/>
    </row>
    <row r="79" spans="1:17">
      <c r="A79" s="2616" t="s">
        <v>3070</v>
      </c>
    </row>
    <row r="80" spans="1:17" ht="66" customHeight="1">
      <c r="A80" s="4090" t="s">
        <v>3071</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7"/>
      <c r="L81" s="2617"/>
      <c r="M81" s="2617"/>
      <c r="N81" s="2617"/>
      <c r="O81" s="2617"/>
    </row>
    <row r="82" spans="1:15" ht="16.5" customHeight="1">
      <c r="A82" s="2615" t="s">
        <v>3072</v>
      </c>
      <c r="B82" s="381"/>
      <c r="C82" s="381"/>
      <c r="D82" s="2613"/>
      <c r="E82" s="381"/>
      <c r="F82" s="381"/>
      <c r="G82" s="381"/>
      <c r="H82" s="381"/>
      <c r="I82" s="381"/>
      <c r="J82" s="391"/>
    </row>
    <row r="83" spans="1:15" s="918" customFormat="1" ht="63" customHeight="1">
      <c r="A83" s="4090" t="s">
        <v>3073</v>
      </c>
      <c r="B83" s="4090"/>
      <c r="C83" s="4090"/>
      <c r="D83" s="4090"/>
      <c r="E83" s="4090"/>
      <c r="F83" s="4090"/>
      <c r="G83" s="4090"/>
      <c r="H83" s="4090"/>
      <c r="I83" s="4090"/>
      <c r="J83" s="4090"/>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0" t="s">
        <v>3074</v>
      </c>
      <c r="B85" s="4706"/>
      <c r="C85" s="4706"/>
      <c r="D85" s="381"/>
      <c r="E85" s="381"/>
      <c r="F85" s="381"/>
      <c r="G85" s="381"/>
      <c r="H85" s="381"/>
      <c r="I85" s="381"/>
      <c r="J85" s="391"/>
    </row>
    <row r="86" spans="1:15" ht="41.25" customHeight="1">
      <c r="A86" s="4090" t="s">
        <v>3075</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c r="A88" s="2616" t="s">
        <v>3076</v>
      </c>
    </row>
    <row r="89" spans="1:15" ht="124.35" customHeight="1">
      <c r="A89" s="4090" t="s">
        <v>3077</v>
      </c>
      <c r="B89" s="4090"/>
      <c r="C89" s="4090"/>
      <c r="D89" s="4090"/>
      <c r="E89" s="4090"/>
      <c r="F89" s="4090"/>
      <c r="G89" s="4090"/>
      <c r="H89" s="4090"/>
      <c r="I89" s="4090"/>
      <c r="J89" s="4090"/>
      <c r="L89" s="4095" t="s">
        <v>3078</v>
      </c>
      <c r="M89" s="4095"/>
      <c r="N89" s="4095"/>
    </row>
    <row r="90" spans="1:15" ht="6" customHeight="1">
      <c r="A90" s="2607"/>
      <c r="B90" s="2607"/>
      <c r="C90" s="2607"/>
      <c r="D90" s="2607"/>
      <c r="E90" s="2607"/>
      <c r="F90" s="2607"/>
      <c r="G90" s="2607"/>
      <c r="H90" s="2607"/>
      <c r="I90" s="2607"/>
      <c r="J90" s="2607"/>
      <c r="L90" s="2614"/>
      <c r="M90" s="2614"/>
      <c r="N90" s="2614"/>
    </row>
    <row r="91" spans="1:15" ht="17.25" customHeight="1">
      <c r="A91" s="2616" t="s">
        <v>3079</v>
      </c>
    </row>
    <row r="92" spans="1:15" ht="105" customHeight="1">
      <c r="A92" s="4090" t="s">
        <v>3080</v>
      </c>
      <c r="B92" s="4090"/>
      <c r="C92" s="4090"/>
      <c r="D92" s="4090"/>
      <c r="E92" s="4090"/>
      <c r="F92" s="4090"/>
      <c r="G92" s="4090"/>
      <c r="H92" s="4090"/>
      <c r="I92" s="4090"/>
      <c r="J92" s="4090"/>
      <c r="L92" s="4095" t="s">
        <v>3081</v>
      </c>
      <c r="M92" s="4095"/>
      <c r="N92" s="393" t="e">
        <f>'After-Tax Analysis'!G66</f>
        <v>#VALUE!</v>
      </c>
      <c r="O92" s="394" t="s">
        <v>3082</v>
      </c>
    </row>
    <row r="93" spans="1:15" ht="6" customHeight="1">
      <c r="A93" s="2616"/>
    </row>
    <row r="94" spans="1:15">
      <c r="A94" s="2616" t="s">
        <v>3083</v>
      </c>
    </row>
    <row r="95" spans="1:15" ht="118.5" customHeight="1">
      <c r="A95" s="4090" t="s">
        <v>3084</v>
      </c>
      <c r="B95" s="4090"/>
      <c r="C95" s="4090"/>
      <c r="D95" s="4090"/>
      <c r="E95" s="4090"/>
      <c r="F95" s="4090"/>
      <c r="G95" s="4090"/>
      <c r="H95" s="4090"/>
      <c r="I95" s="4090"/>
      <c r="J95" s="4090"/>
    </row>
    <row r="96" spans="1:15" ht="20.25" customHeight="1">
      <c r="A96" s="4092" t="s">
        <v>3085</v>
      </c>
      <c r="B96" s="4092"/>
      <c r="C96" s="4092"/>
      <c r="D96" s="4090"/>
      <c r="E96" s="2607"/>
      <c r="F96" s="2607"/>
      <c r="G96" s="2607"/>
      <c r="H96" s="2607"/>
      <c r="I96" s="2607"/>
      <c r="J96" s="2607"/>
    </row>
    <row r="97" spans="1:14" ht="109.5" customHeight="1">
      <c r="A97" s="4106" t="s">
        <v>3086</v>
      </c>
      <c r="B97" s="4107"/>
      <c r="C97" s="4107"/>
      <c r="D97" s="4107"/>
      <c r="E97" s="4107"/>
      <c r="F97" s="4107"/>
      <c r="G97" s="4107"/>
      <c r="H97" s="4107"/>
      <c r="I97" s="4107"/>
      <c r="J97" s="4107"/>
    </row>
    <row r="98" spans="1:14" ht="11.25" customHeight="1">
      <c r="A98" s="2616"/>
    </row>
    <row r="99" spans="1:14">
      <c r="A99" s="2616" t="s">
        <v>3087</v>
      </c>
    </row>
    <row r="100" spans="1:14" ht="110.85" customHeight="1">
      <c r="A100" s="4096" t="s">
        <v>3088</v>
      </c>
      <c r="B100" s="4096"/>
      <c r="C100" s="4096"/>
      <c r="D100" s="4096"/>
      <c r="E100" s="4096"/>
      <c r="F100" s="4096"/>
      <c r="G100" s="4096"/>
      <c r="H100" s="4096"/>
      <c r="I100" s="4096"/>
      <c r="J100" s="4096"/>
      <c r="L100" s="733">
        <f>'Part VI-Pro Forma'!K72</f>
        <v>2027890.2309035002</v>
      </c>
      <c r="M100" s="4099" t="s">
        <v>3089</v>
      </c>
      <c r="N100" s="4099"/>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2" t="s">
        <v>3090</v>
      </c>
      <c r="B104" s="4092"/>
      <c r="C104" s="4092"/>
      <c r="D104" s="2607"/>
      <c r="E104" s="2607"/>
      <c r="F104" s="2607"/>
      <c r="G104" s="2607"/>
      <c r="H104" s="2607"/>
      <c r="I104" s="2607"/>
      <c r="J104" s="391"/>
    </row>
    <row r="105" spans="1:14" ht="37.5" customHeight="1">
      <c r="A105" s="4090" t="s">
        <v>3091</v>
      </c>
      <c r="B105" s="4090"/>
      <c r="C105" s="4090"/>
      <c r="D105" s="4090"/>
      <c r="E105" s="4090"/>
      <c r="F105" s="4090"/>
      <c r="G105" s="4090"/>
      <c r="H105" s="4090"/>
      <c r="I105" s="4090"/>
      <c r="J105" s="4090"/>
    </row>
    <row r="106" spans="1:14" ht="6" customHeight="1">
      <c r="A106" s="2616"/>
    </row>
    <row r="107" spans="1:14">
      <c r="A107" s="2616" t="s">
        <v>3092</v>
      </c>
    </row>
    <row r="108" spans="1:14" ht="43.5" customHeight="1">
      <c r="A108" s="4090" t="s">
        <v>3093</v>
      </c>
      <c r="B108" s="4090"/>
      <c r="C108" s="4090"/>
      <c r="D108" s="4090"/>
      <c r="E108" s="4090"/>
      <c r="F108" s="4090"/>
      <c r="G108" s="4090"/>
      <c r="H108" s="4090"/>
      <c r="I108" s="4090"/>
      <c r="J108" s="4090"/>
    </row>
    <row r="109" spans="1:14" ht="6" customHeight="1">
      <c r="A109" s="2607"/>
      <c r="B109" s="2607"/>
      <c r="C109" s="2607"/>
      <c r="D109" s="2607"/>
      <c r="E109" s="2607"/>
      <c r="F109" s="2607"/>
      <c r="G109" s="2607"/>
      <c r="H109" s="2607"/>
      <c r="I109" s="2607"/>
      <c r="J109" s="2607"/>
    </row>
    <row r="110" spans="1:14">
      <c r="A110" s="2616" t="s">
        <v>3094</v>
      </c>
    </row>
    <row r="112" spans="1:14" ht="18.95" thickBot="1">
      <c r="A112" s="376" t="s">
        <v>3095</v>
      </c>
      <c r="G112" s="1095"/>
      <c r="H112" s="376" t="s">
        <v>3096</v>
      </c>
    </row>
    <row r="115" spans="1:10" ht="14.1" customHeight="1" thickBot="1">
      <c r="G115" s="1095"/>
      <c r="H115" s="376" t="s">
        <v>3097</v>
      </c>
    </row>
    <row r="116" spans="1:10">
      <c r="A116" s="376" t="s">
        <v>3098</v>
      </c>
    </row>
    <row r="119" spans="1:10" ht="15" thickBot="1">
      <c r="A119" s="395"/>
      <c r="B119" s="395"/>
      <c r="C119" s="395"/>
      <c r="D119" s="395"/>
      <c r="F119" s="395"/>
      <c r="G119" s="395"/>
      <c r="H119" s="395"/>
      <c r="I119" s="395"/>
      <c r="J119" s="395"/>
    </row>
    <row r="120" spans="1:10">
      <c r="A120" s="4104" t="s">
        <v>3099</v>
      </c>
      <c r="B120" s="4104"/>
      <c r="C120" s="4104"/>
      <c r="D120" s="4104"/>
      <c r="E120" s="4105"/>
      <c r="F120" s="1093" t="s">
        <v>3100</v>
      </c>
      <c r="G120" s="1093"/>
      <c r="H120" s="1093"/>
      <c r="I120" s="1093"/>
      <c r="J120" s="1093"/>
    </row>
    <row r="122" spans="1:10" ht="15" thickBot="1">
      <c r="A122" s="376" t="s">
        <v>3101</v>
      </c>
      <c r="B122" s="395"/>
      <c r="C122" s="395"/>
      <c r="H122" s="376" t="s">
        <v>3101</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95"/>
  <cols>
    <col min="1" max="1" width="16.7109375" customWidth="1"/>
    <col min="2" max="3" width="26.28515625" customWidth="1"/>
    <col min="4" max="4" width="9.42578125" customWidth="1"/>
    <col min="5" max="5" width="25.42578125" customWidth="1"/>
    <col min="6" max="6" width="8.42578125" customWidth="1"/>
    <col min="7" max="7" width="21.7109375" customWidth="1"/>
    <col min="8" max="8" width="6.42578125" customWidth="1"/>
    <col min="9" max="9" width="19.28515625" customWidth="1"/>
    <col min="10" max="10" width="6.42578125" customWidth="1"/>
    <col min="11" max="11" width="18.7109375" customWidth="1"/>
    <col min="12" max="12" width="7.42578125" customWidth="1"/>
    <col min="13" max="17" width="10.7109375" customWidth="1"/>
  </cols>
  <sheetData>
    <row r="1" spans="1:14" s="6" customFormat="1" ht="18">
      <c r="A1" s="727" t="s">
        <v>3102</v>
      </c>
      <c r="B1" s="402"/>
      <c r="C1" s="402"/>
      <c r="D1" s="402"/>
      <c r="E1" s="402"/>
      <c r="F1" s="402"/>
      <c r="G1" s="402"/>
      <c r="H1" s="402"/>
      <c r="I1" s="402"/>
      <c r="J1" s="402"/>
      <c r="K1" s="402"/>
      <c r="L1" s="370"/>
      <c r="M1" s="370"/>
    </row>
    <row r="2" spans="1:14" s="6" customFormat="1" ht="18">
      <c r="A2" s="727" t="str">
        <f>+"Financial Analysis for:  "&amp;E8&amp;"  "&amp;C8</f>
        <v>Financial Analysis for:  2024-0  Abbington Blue Ridge</v>
      </c>
      <c r="B2" s="402"/>
      <c r="C2" s="402"/>
      <c r="D2" s="402"/>
      <c r="E2" s="402"/>
      <c r="F2" s="402"/>
      <c r="G2" s="402"/>
      <c r="H2" s="402"/>
      <c r="I2" s="402"/>
      <c r="J2" s="402"/>
      <c r="K2" s="402"/>
      <c r="L2" s="370"/>
      <c r="M2" s="370"/>
    </row>
    <row r="5" spans="1:14" ht="15.95">
      <c r="A5" s="397"/>
      <c r="B5" s="398"/>
      <c r="C5" s="399"/>
      <c r="D5" s="398"/>
      <c r="E5" s="398"/>
      <c r="F5" s="397"/>
      <c r="G5" s="398"/>
      <c r="H5" s="399"/>
      <c r="I5" s="398"/>
      <c r="J5" s="398"/>
      <c r="K5" s="398"/>
      <c r="L5" s="398"/>
      <c r="M5" s="2612"/>
    </row>
    <row r="7" spans="1:14" ht="15.95">
      <c r="A7" s="425" t="s">
        <v>3103</v>
      </c>
      <c r="B7" s="418"/>
      <c r="C7" s="1533"/>
      <c r="D7" s="418"/>
      <c r="E7" s="418"/>
      <c r="F7" s="425" t="s">
        <v>3104</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12"/>
    </row>
    <row r="8" spans="1:14" ht="15.95">
      <c r="A8" s="425" t="s">
        <v>3105</v>
      </c>
      <c r="B8" s="425"/>
      <c r="C8" s="4110" t="str">
        <f>'Part I-Project Identification'!$F$26</f>
        <v>Abbington Blue Ridge</v>
      </c>
      <c r="D8" s="4110"/>
      <c r="E8" s="2619" t="str">
        <f>'Part I-Project Identification'!$O$7</f>
        <v>2024-0</v>
      </c>
      <c r="F8" s="425" t="s">
        <v>3106</v>
      </c>
      <c r="G8" s="418"/>
      <c r="H8" s="4110" t="str">
        <f>CONCATENATE('Part I-Project Identification'!$F$27,", ",'Part I-Project Identification'!$J$27)</f>
        <v>Blue Ridge, Fannin</v>
      </c>
      <c r="I8" s="4110"/>
      <c r="J8" s="4110"/>
      <c r="K8" s="4110"/>
      <c r="L8" s="418"/>
      <c r="M8" s="400"/>
    </row>
    <row r="9" spans="1:14" ht="15.95">
      <c r="A9" s="425" t="s">
        <v>3107</v>
      </c>
      <c r="B9" s="425"/>
      <c r="C9" s="4110" t="s">
        <v>726</v>
      </c>
      <c r="D9" s="4110"/>
      <c r="E9" s="418"/>
      <c r="F9" s="425" t="s">
        <v>3108</v>
      </c>
      <c r="G9" s="418"/>
      <c r="H9" s="4111"/>
      <c r="I9" s="4111"/>
      <c r="J9" s="4111"/>
      <c r="K9" s="4111"/>
      <c r="L9" s="4111"/>
      <c r="M9" s="400"/>
    </row>
    <row r="10" spans="1:14" ht="15.95">
      <c r="A10" s="425" t="s">
        <v>3109</v>
      </c>
      <c r="B10" s="418"/>
      <c r="C10" s="4112"/>
      <c r="D10" s="4112"/>
      <c r="E10" s="418"/>
      <c r="F10" s="425" t="s">
        <v>3110</v>
      </c>
      <c r="G10" s="418"/>
      <c r="H10" s="4109"/>
      <c r="I10" s="4109"/>
      <c r="J10" s="4109"/>
      <c r="K10" s="4109"/>
      <c r="L10" s="4109"/>
    </row>
    <row r="11" spans="1:14" ht="15.95">
      <c r="A11" s="425" t="s">
        <v>3111</v>
      </c>
      <c r="B11" s="418"/>
      <c r="C11" s="4113"/>
      <c r="D11" s="4113"/>
      <c r="E11" s="1544"/>
      <c r="F11" s="425" t="s">
        <v>229</v>
      </c>
      <c r="G11" s="418"/>
      <c r="H11" s="4109"/>
      <c r="I11" s="4109"/>
      <c r="J11" s="4109"/>
      <c r="K11" s="4109"/>
      <c r="L11" s="4109"/>
      <c r="M11" s="4114"/>
      <c r="N11" s="4115"/>
    </row>
    <row r="12" spans="1:14" ht="15.95">
      <c r="A12" s="425" t="s">
        <v>3112</v>
      </c>
      <c r="B12" s="418"/>
      <c r="C12" s="4113"/>
      <c r="D12" s="4113"/>
      <c r="E12" s="418"/>
      <c r="F12" s="425" t="s">
        <v>3113</v>
      </c>
      <c r="G12" s="418"/>
      <c r="H12" s="4113"/>
      <c r="I12" s="4113"/>
      <c r="J12" s="4113"/>
      <c r="K12" s="4113"/>
      <c r="L12" s="4113"/>
      <c r="M12" s="2612"/>
    </row>
    <row r="13" spans="1:14" ht="15.95">
      <c r="A13" s="425" t="s">
        <v>3114</v>
      </c>
      <c r="B13" s="425"/>
      <c r="C13" s="1534">
        <f>'Part V-Revenues &amp; Expenses'!$P$67</f>
        <v>60</v>
      </c>
      <c r="D13" s="11"/>
      <c r="E13" s="1535">
        <f>'Part V-Revenues &amp; Expenses'!$P$63</f>
        <v>54</v>
      </c>
      <c r="F13" s="425" t="s">
        <v>3115</v>
      </c>
      <c r="G13" s="418"/>
      <c r="H13" s="1543"/>
      <c r="I13" s="1537"/>
      <c r="J13" s="1537"/>
      <c r="K13" s="1536">
        <f>'Part V-Revenues &amp; Expenses'!$K$179</f>
        <v>55659</v>
      </c>
      <c r="L13" s="418"/>
      <c r="M13" s="2612"/>
    </row>
    <row r="14" spans="1:14" ht="15.95">
      <c r="A14" s="425" t="s">
        <v>3116</v>
      </c>
      <c r="B14" s="418"/>
      <c r="C14" s="1536" t="str">
        <f>'Part VII-Threshold Criteria OLD'!J35</f>
        <v>&lt;&lt; Select PROPOSED Tenancy &gt;&gt;</v>
      </c>
      <c r="D14" s="4110" t="str">
        <f>IF('Part VII-Threshold Criteria OLD'!$N$35=0,"",'Part VII-Threshold Criteria OLD'!$N$35)</f>
        <v/>
      </c>
      <c r="E14" s="4110"/>
      <c r="F14" s="425" t="s">
        <v>3117</v>
      </c>
      <c r="G14" s="418"/>
      <c r="H14" s="4116" t="s">
        <v>3118</v>
      </c>
      <c r="I14" s="4116"/>
      <c r="J14" s="4116"/>
      <c r="K14" s="4116" t="s">
        <v>3118</v>
      </c>
      <c r="L14" s="4116"/>
      <c r="M14" s="2612"/>
    </row>
    <row r="15" spans="1:14" ht="15.95">
      <c r="A15" s="425" t="s">
        <v>3119</v>
      </c>
      <c r="B15" s="418"/>
      <c r="C15" s="1538" t="s">
        <v>726</v>
      </c>
      <c r="D15" s="418"/>
      <c r="E15" s="418"/>
      <c r="F15" s="425" t="s">
        <v>3120</v>
      </c>
      <c r="G15" s="418"/>
      <c r="H15" s="2619" t="str">
        <f>'Part I-Project Identification'!K29</f>
        <v>Rural</v>
      </c>
      <c r="I15" s="418"/>
      <c r="J15" s="418"/>
      <c r="K15" s="418"/>
      <c r="L15" s="418"/>
      <c r="M15" s="2612"/>
    </row>
    <row r="16" spans="1:14" ht="15.95">
      <c r="A16" s="425" t="s">
        <v>3121</v>
      </c>
      <c r="B16" s="418"/>
      <c r="C16" s="2619">
        <f>'Part VIII Scoring Criteria OLD'!$P$42</f>
        <v>0</v>
      </c>
      <c r="D16" s="1539" t="s">
        <v>2138</v>
      </c>
      <c r="E16" s="2619">
        <f>'Part VIII Scoring Criteria OLD'!$P$48</f>
        <v>0</v>
      </c>
      <c r="F16" s="425"/>
      <c r="G16" s="418"/>
      <c r="H16" s="418"/>
      <c r="I16" s="418"/>
      <c r="J16" s="418"/>
      <c r="K16" s="418"/>
      <c r="L16" s="418"/>
      <c r="M16" s="2612"/>
    </row>
    <row r="17" spans="1:13" ht="15.95">
      <c r="A17" s="418"/>
      <c r="B17" s="418"/>
      <c r="C17" s="418"/>
      <c r="D17" s="418"/>
      <c r="E17" s="418"/>
      <c r="F17" s="418"/>
      <c r="G17" s="418"/>
      <c r="H17" s="418"/>
      <c r="I17" s="418"/>
      <c r="J17" s="418"/>
      <c r="K17" s="418"/>
      <c r="L17" s="418"/>
      <c r="M17" s="2612"/>
    </row>
    <row r="18" spans="1:13" ht="15.95">
      <c r="A18" s="425" t="s">
        <v>3122</v>
      </c>
      <c r="B18" s="418"/>
      <c r="C18" s="2618">
        <f>'Part III-A-Uses of Funds'!$G$146</f>
        <v>17967647</v>
      </c>
      <c r="D18" s="1540">
        <f>IF(C18=0,"",$C$29/C18)</f>
        <v>0.14080864344674626</v>
      </c>
      <c r="E18" s="418" t="s">
        <v>3123</v>
      </c>
      <c r="F18" s="425" t="s">
        <v>3124</v>
      </c>
      <c r="G18" s="418"/>
      <c r="H18" s="4117">
        <f>'Part III-A-Uses of Funds'!$C$49</f>
        <v>10421166</v>
      </c>
      <c r="I18" s="4117"/>
      <c r="J18" s="1541">
        <f>IF(H18=0,"",$C$29/H18)</f>
        <v>0.2427751366785636</v>
      </c>
      <c r="K18" s="4110" t="s">
        <v>3125</v>
      </c>
      <c r="L18" s="4110"/>
      <c r="M18" s="2612"/>
    </row>
    <row r="19" spans="1:13" ht="15.95">
      <c r="A19" s="425" t="s">
        <v>3126</v>
      </c>
      <c r="B19" s="418"/>
      <c r="C19" s="2620">
        <f>C18/C13</f>
        <v>299460.78333333333</v>
      </c>
      <c r="D19" s="418"/>
      <c r="E19" s="418"/>
      <c r="F19" s="425" t="s">
        <v>3126</v>
      </c>
      <c r="G19" s="418"/>
      <c r="H19" s="4118">
        <f>H18/C13</f>
        <v>173686.1</v>
      </c>
      <c r="I19" s="4118"/>
      <c r="J19" s="418"/>
      <c r="K19" s="418"/>
      <c r="L19" s="418"/>
      <c r="M19" s="2612"/>
    </row>
    <row r="20" spans="1:13" ht="15.95">
      <c r="A20" s="425" t="s">
        <v>3127</v>
      </c>
      <c r="B20" s="418"/>
      <c r="C20" s="2619">
        <f>C18/K13</f>
        <v>322.81656156237085</v>
      </c>
      <c r="D20" s="1542"/>
      <c r="E20" s="1542"/>
      <c r="F20" s="425" t="s">
        <v>3127</v>
      </c>
      <c r="G20" s="418"/>
      <c r="H20" s="4110">
        <f>H18/K13</f>
        <v>187.23236134317901</v>
      </c>
      <c r="I20" s="4118"/>
      <c r="J20" s="418"/>
      <c r="K20" s="418"/>
      <c r="L20" s="418"/>
      <c r="M20" s="2612"/>
    </row>
    <row r="21" spans="1:13" ht="15.95">
      <c r="A21" s="370"/>
      <c r="B21" s="2612"/>
      <c r="C21" s="401"/>
      <c r="D21" s="2612"/>
      <c r="E21" s="2612"/>
      <c r="F21" s="370"/>
      <c r="G21" s="2612"/>
      <c r="H21" s="401"/>
      <c r="I21" s="2612"/>
      <c r="J21" s="2612"/>
      <c r="K21" s="2612"/>
      <c r="L21" s="2612"/>
      <c r="M21" s="2612"/>
    </row>
    <row r="22" spans="1:13" ht="15.95">
      <c r="A22" s="398"/>
      <c r="B22" s="398"/>
      <c r="C22" s="398"/>
      <c r="D22" s="398"/>
      <c r="E22" s="398"/>
      <c r="F22" s="398"/>
      <c r="G22" s="398"/>
      <c r="H22" s="398"/>
      <c r="I22" s="398"/>
      <c r="J22" s="398"/>
      <c r="K22" s="398"/>
      <c r="L22" s="398"/>
      <c r="M22" s="400"/>
    </row>
    <row r="23" spans="1:13" ht="15.95">
      <c r="A23" s="402" t="s">
        <v>3128</v>
      </c>
      <c r="B23" s="396"/>
      <c r="C23" s="396"/>
      <c r="D23" s="396"/>
      <c r="E23" s="2612"/>
      <c r="F23" s="2612"/>
      <c r="G23" s="2612"/>
      <c r="H23" s="2612"/>
      <c r="I23" s="2612"/>
      <c r="J23" s="2612"/>
      <c r="K23" s="2612"/>
      <c r="L23" s="2612"/>
      <c r="M23" s="400"/>
    </row>
    <row r="24" spans="1:13" ht="27" customHeight="1">
      <c r="A24" s="2612"/>
      <c r="B24" s="2612"/>
      <c r="C24" s="2612"/>
      <c r="D24" s="403" t="s">
        <v>3129</v>
      </c>
      <c r="E24" s="2612"/>
      <c r="F24" s="2612"/>
      <c r="G24" s="2612"/>
      <c r="H24" s="2612"/>
      <c r="I24" s="2612"/>
      <c r="J24" s="2612"/>
      <c r="K24" s="2612"/>
      <c r="L24" s="2612"/>
      <c r="M24" s="400"/>
    </row>
    <row r="25" spans="1:13" ht="15.95">
      <c r="A25" s="370" t="s">
        <v>3130</v>
      </c>
      <c r="B25" s="404" t="str">
        <f>'Part II-Sources of Funds'!E40</f>
        <v>Churchill Stateside Group, LLC</v>
      </c>
      <c r="C25" s="405">
        <f>'Part II-Sources of Funds'!I40</f>
        <v>2530000</v>
      </c>
      <c r="D25" s="406" t="s">
        <v>3131</v>
      </c>
      <c r="E25" s="2612"/>
      <c r="F25" s="2612"/>
      <c r="G25" s="2612" t="s">
        <v>3132</v>
      </c>
      <c r="H25" s="2612"/>
      <c r="I25" s="2612"/>
      <c r="K25" s="405"/>
      <c r="L25" s="2612"/>
      <c r="M25" s="400"/>
    </row>
    <row r="26" spans="1:13" ht="15.95">
      <c r="A26" s="2612"/>
      <c r="B26" s="404"/>
      <c r="C26" s="405"/>
      <c r="D26" s="406"/>
      <c r="E26" s="2612"/>
      <c r="F26" s="2612"/>
      <c r="G26" s="2612" t="s">
        <v>3133</v>
      </c>
      <c r="H26" s="2612"/>
      <c r="I26" s="2612"/>
      <c r="K26" s="407" t="e">
        <f>C29/K25</f>
        <v>#DIV/0!</v>
      </c>
      <c r="L26" s="2612"/>
      <c r="M26" s="2612"/>
    </row>
    <row r="27" spans="1:13" ht="15.95">
      <c r="A27" s="2612"/>
      <c r="B27" s="404"/>
      <c r="C27" s="405"/>
      <c r="D27" s="406"/>
      <c r="E27" s="2612"/>
      <c r="F27" s="2612"/>
      <c r="G27" s="2612"/>
      <c r="H27" s="2612"/>
      <c r="I27" s="2612"/>
      <c r="K27" s="2612"/>
      <c r="L27" s="2612"/>
      <c r="M27" s="2612"/>
    </row>
    <row r="28" spans="1:13" ht="15.95">
      <c r="A28" s="2612"/>
      <c r="B28" s="2612"/>
      <c r="C28" s="2612"/>
      <c r="D28" s="2612"/>
      <c r="E28" s="2612"/>
      <c r="F28" s="2612"/>
      <c r="G28" s="2612" t="s">
        <v>3134</v>
      </c>
      <c r="H28" s="2612"/>
      <c r="I28" s="2612"/>
      <c r="K28" s="405"/>
      <c r="L28" s="2612"/>
      <c r="M28" s="2612"/>
    </row>
    <row r="29" spans="1:13" ht="17.100000000000001" thickBot="1">
      <c r="A29" s="2612"/>
      <c r="B29" s="408" t="s">
        <v>3135</v>
      </c>
      <c r="C29" s="1532">
        <f>SUM(C25:C27)</f>
        <v>2530000</v>
      </c>
      <c r="D29" s="2612"/>
      <c r="E29" s="2612"/>
      <c r="F29" s="2612"/>
      <c r="G29" s="2612" t="s">
        <v>3136</v>
      </c>
      <c r="H29" s="2612"/>
      <c r="I29" s="2612"/>
      <c r="K29" s="407" t="e">
        <f>C29/K28</f>
        <v>#DIV/0!</v>
      </c>
      <c r="L29" s="2612"/>
      <c r="M29" s="2612"/>
    </row>
    <row r="30" spans="1:13" ht="17.100000000000001" thickTop="1">
      <c r="A30" s="370" t="s">
        <v>3137</v>
      </c>
      <c r="B30" s="408"/>
      <c r="C30" s="409">
        <f>'Part II-Sources of Funds'!$I$51+'Part II-Sources of Funds'!$I$52</f>
        <v>15098182</v>
      </c>
      <c r="D30" s="2612"/>
      <c r="E30" s="2612"/>
      <c r="F30" s="2612"/>
      <c r="G30" s="2612"/>
      <c r="H30" s="2612"/>
      <c r="I30" s="2612"/>
      <c r="K30" s="410"/>
      <c r="L30" s="2612"/>
      <c r="M30" s="2612"/>
    </row>
    <row r="31" spans="1:13" ht="15.95">
      <c r="A31" s="411" t="s">
        <v>3138</v>
      </c>
      <c r="B31" s="404">
        <f>'Part II-Sources of Funds'!E41</f>
        <v>0</v>
      </c>
      <c r="C31" s="405">
        <f>'Part II-Sources of Funds'!I41</f>
        <v>0</v>
      </c>
      <c r="D31" s="406"/>
      <c r="E31" s="2612"/>
      <c r="F31" s="2612"/>
      <c r="G31" s="2612"/>
      <c r="H31" s="2612"/>
      <c r="I31" s="2612"/>
      <c r="K31" s="2612"/>
      <c r="L31" s="2612"/>
      <c r="M31" s="2612"/>
    </row>
    <row r="32" spans="1:13" ht="15.95">
      <c r="A32" s="411" t="s">
        <v>3138</v>
      </c>
      <c r="B32" s="404">
        <f>'Part II-Sources of Funds'!E42</f>
        <v>0</v>
      </c>
      <c r="C32" s="405">
        <f>'Part II-Sources of Funds'!I42</f>
        <v>0</v>
      </c>
      <c r="D32" s="406"/>
      <c r="E32" s="2612" t="s">
        <v>3016</v>
      </c>
      <c r="F32" s="2612"/>
      <c r="G32" s="2612" t="s">
        <v>3139</v>
      </c>
      <c r="H32" s="2612"/>
      <c r="I32" s="2612"/>
      <c r="K32" s="405"/>
      <c r="L32" s="2612"/>
      <c r="M32" s="2612"/>
    </row>
    <row r="33" spans="1:13" ht="15.95">
      <c r="A33" s="411" t="s">
        <v>3138</v>
      </c>
      <c r="B33" s="404">
        <f>'Part II-Sources of Funds'!E43</f>
        <v>0</v>
      </c>
      <c r="C33" s="405">
        <f>'Part II-Sources of Funds'!I43</f>
        <v>0</v>
      </c>
      <c r="D33" s="406"/>
      <c r="E33" s="2612"/>
      <c r="F33" s="2612"/>
      <c r="G33" s="731" t="s">
        <v>3140</v>
      </c>
      <c r="H33" s="731"/>
      <c r="I33" s="731"/>
      <c r="K33" s="407" t="e">
        <f>$C$29/K32</f>
        <v>#DIV/0!</v>
      </c>
      <c r="L33" s="2612"/>
      <c r="M33" s="412"/>
    </row>
    <row r="34" spans="1:13" ht="15.95">
      <c r="A34" s="2612"/>
      <c r="B34" s="408" t="s">
        <v>3141</v>
      </c>
      <c r="C34" s="409">
        <f>SUM(C31:C33)</f>
        <v>0</v>
      </c>
      <c r="D34" s="2612"/>
      <c r="E34" s="2612"/>
      <c r="F34" s="2612"/>
      <c r="G34" s="2612"/>
      <c r="H34" s="2612"/>
      <c r="I34" s="2612"/>
      <c r="K34" s="2612"/>
      <c r="L34" s="2612"/>
      <c r="M34" s="412"/>
    </row>
    <row r="35" spans="1:13" ht="15.95">
      <c r="A35" s="2612"/>
      <c r="B35" s="408"/>
      <c r="C35" s="2612"/>
      <c r="D35" s="2612"/>
      <c r="E35" s="2612"/>
      <c r="F35" s="2612"/>
      <c r="G35" s="731" t="s">
        <v>3142</v>
      </c>
      <c r="H35" s="731"/>
      <c r="I35" s="731"/>
      <c r="K35" s="413" t="e">
        <f>(C36)/K25</f>
        <v>#DIV/0!</v>
      </c>
      <c r="L35" s="2612"/>
      <c r="M35" s="2612"/>
    </row>
    <row r="36" spans="1:13" ht="15.95">
      <c r="A36" s="2612"/>
      <c r="B36" s="408" t="s">
        <v>3143</v>
      </c>
      <c r="C36" s="409">
        <f>C29+C34</f>
        <v>2530000</v>
      </c>
      <c r="D36" s="2612"/>
      <c r="E36" s="2612"/>
      <c r="F36" s="2612"/>
      <c r="G36" s="2612"/>
      <c r="H36" s="2612"/>
      <c r="I36" s="2612"/>
      <c r="K36" s="2612"/>
      <c r="L36" s="2612"/>
      <c r="M36" s="2612"/>
    </row>
    <row r="37" spans="1:13" ht="15.95">
      <c r="A37" s="2612"/>
      <c r="B37" s="408"/>
      <c r="C37" s="410"/>
      <c r="D37" s="2612"/>
      <c r="E37" s="2612"/>
      <c r="F37" s="2612"/>
      <c r="G37" s="731" t="s">
        <v>3144</v>
      </c>
      <c r="H37" s="731"/>
      <c r="I37" s="731"/>
      <c r="K37" s="732" t="e">
        <f>+(C36)/K32</f>
        <v>#DIV/0!</v>
      </c>
      <c r="L37" s="2612"/>
      <c r="M37" s="412"/>
    </row>
    <row r="38" spans="1:13" ht="15.95">
      <c r="A38" s="2612"/>
      <c r="B38" s="408" t="s">
        <v>3145</v>
      </c>
      <c r="C38" s="414">
        <f>C36/C18</f>
        <v>0.14080864344674626</v>
      </c>
      <c r="D38" s="2612"/>
      <c r="E38" s="2612"/>
      <c r="F38" s="2612"/>
      <c r="G38" s="2612"/>
      <c r="H38" s="2612"/>
      <c r="I38" s="2612"/>
      <c r="K38" s="2612"/>
      <c r="L38" s="2612"/>
      <c r="M38" s="412"/>
    </row>
    <row r="39" spans="1:13" ht="15.95">
      <c r="A39" s="2612"/>
      <c r="B39" s="408"/>
      <c r="C39" s="410"/>
      <c r="D39" s="2612"/>
      <c r="E39" s="2612"/>
      <c r="F39" s="2612"/>
      <c r="G39" s="2612"/>
      <c r="H39" s="2612"/>
      <c r="I39" s="2612"/>
      <c r="K39" s="2612"/>
      <c r="L39" s="2612"/>
      <c r="M39" s="2612"/>
    </row>
    <row r="40" spans="1:13" ht="15.95">
      <c r="A40" s="2612"/>
      <c r="B40" s="408" t="s">
        <v>3146</v>
      </c>
      <c r="C40" s="414">
        <f>C36/H18</f>
        <v>0.2427751366785636</v>
      </c>
      <c r="D40" s="2612"/>
      <c r="E40" s="2612"/>
      <c r="F40" s="370"/>
      <c r="G40" s="370" t="s">
        <v>3147</v>
      </c>
      <c r="H40" s="2612"/>
      <c r="I40" s="2612"/>
      <c r="K40" s="407">
        <f>C30/C18</f>
        <v>0.84029823159370842</v>
      </c>
      <c r="L40" s="2612"/>
      <c r="M40" s="2612"/>
    </row>
    <row r="46" spans="1:13" ht="15.95">
      <c r="A46" s="402" t="s">
        <v>3148</v>
      </c>
      <c r="B46" s="396"/>
      <c r="C46" s="396"/>
      <c r="D46" s="396"/>
      <c r="E46" s="396"/>
      <c r="F46" s="396"/>
      <c r="G46" s="396"/>
      <c r="H46" s="396"/>
      <c r="I46" s="396"/>
      <c r="J46" s="396"/>
      <c r="K46" s="396"/>
      <c r="L46" s="396"/>
      <c r="M46" s="2612"/>
    </row>
    <row r="47" spans="1:13" ht="15.95">
      <c r="A47" s="402" t="str">
        <f>C8</f>
        <v>Abbington Blue Ridge</v>
      </c>
      <c r="B47" s="396"/>
      <c r="C47" s="396"/>
      <c r="D47" s="396"/>
      <c r="E47" s="396"/>
      <c r="F47" s="396"/>
      <c r="G47" s="396"/>
      <c r="H47" s="396"/>
      <c r="I47" s="396"/>
      <c r="J47" s="396"/>
      <c r="K47" s="396"/>
      <c r="L47" s="396"/>
      <c r="M47" s="2612"/>
    </row>
    <row r="50" spans="1:14" s="368" customFormat="1" ht="15.95">
      <c r="A50" s="370" t="s">
        <v>3149</v>
      </c>
      <c r="B50" s="2612"/>
      <c r="C50" s="412" t="s">
        <v>3150</v>
      </c>
      <c r="D50" s="2612"/>
      <c r="E50" s="415" t="s">
        <v>3151</v>
      </c>
      <c r="F50" s="416">
        <v>0.1</v>
      </c>
      <c r="G50" s="415" t="s">
        <v>3152</v>
      </c>
      <c r="H50" s="416">
        <v>0.05</v>
      </c>
      <c r="I50" s="415" t="s">
        <v>3153</v>
      </c>
      <c r="J50" s="416">
        <v>0.03</v>
      </c>
      <c r="K50" s="4119" t="s">
        <v>3154</v>
      </c>
      <c r="L50" s="4120"/>
      <c r="M50"/>
      <c r="N50"/>
    </row>
    <row r="51" spans="1:14" s="368" customFormat="1" ht="15.95">
      <c r="A51" s="370"/>
      <c r="B51" s="2612"/>
      <c r="C51" s="412"/>
      <c r="D51" s="2612"/>
      <c r="E51" s="412"/>
      <c r="F51" s="417"/>
      <c r="G51" s="412"/>
      <c r="H51" s="417"/>
      <c r="I51" s="412"/>
      <c r="J51" s="417"/>
      <c r="K51" s="412"/>
      <c r="L51" s="2612"/>
      <c r="M51"/>
      <c r="N51"/>
    </row>
    <row r="52" spans="1:14" s="368" customFormat="1" ht="18.75" customHeight="1">
      <c r="A52" s="2612"/>
      <c r="B52" s="418" t="s">
        <v>3155</v>
      </c>
      <c r="C52" s="419">
        <f>'Part VI-Pro Forma'!B15</f>
        <v>578400</v>
      </c>
      <c r="D52" s="419"/>
      <c r="E52" s="419">
        <f>$C$52</f>
        <v>578400</v>
      </c>
      <c r="F52" s="419"/>
      <c r="G52" s="419">
        <f>$C$52</f>
        <v>578400</v>
      </c>
      <c r="H52" s="419"/>
      <c r="I52" s="419">
        <f>$C$52</f>
        <v>578400</v>
      </c>
      <c r="J52" s="419"/>
      <c r="K52" s="419">
        <f>$C$52</f>
        <v>578400</v>
      </c>
      <c r="L52" s="420"/>
      <c r="M52"/>
      <c r="N52"/>
    </row>
    <row r="53" spans="1:14" s="368" customFormat="1" ht="18.75" customHeight="1">
      <c r="A53" s="2612"/>
      <c r="B53" s="418" t="s">
        <v>3156</v>
      </c>
      <c r="C53" s="419">
        <f>'Part VI-Pro Forma'!B16</f>
        <v>11568</v>
      </c>
      <c r="D53" s="419"/>
      <c r="E53" s="419">
        <f>$C$53</f>
        <v>11568</v>
      </c>
      <c r="F53" s="419"/>
      <c r="G53" s="419">
        <f>$C$53</f>
        <v>11568</v>
      </c>
      <c r="H53" s="419"/>
      <c r="I53" s="419">
        <f>$C$53</f>
        <v>11568</v>
      </c>
      <c r="J53" s="419"/>
      <c r="K53" s="419">
        <f>$C$53</f>
        <v>11568</v>
      </c>
      <c r="L53" s="420"/>
      <c r="M53"/>
      <c r="N53"/>
    </row>
    <row r="54" spans="1:14" s="368" customFormat="1" ht="18.75" customHeight="1">
      <c r="A54" s="2612"/>
      <c r="B54" s="418" t="s">
        <v>3157</v>
      </c>
      <c r="C54" s="419">
        <f>'Part VI-Pro Forma'!B17</f>
        <v>-41297.760000000002</v>
      </c>
      <c r="D54" s="419"/>
      <c r="E54" s="419">
        <f>-($C$52+E53)*F50</f>
        <v>-58996.800000000003</v>
      </c>
      <c r="F54" s="421"/>
      <c r="G54" s="419">
        <f>-($C$52+G53)*0.07</f>
        <v>-41297.760000000002</v>
      </c>
      <c r="H54" s="419"/>
      <c r="I54" s="419">
        <f>-($C$52+I53)*0.07</f>
        <v>-41297.760000000002</v>
      </c>
      <c r="J54" s="419"/>
      <c r="K54" s="419">
        <f>-($C$52+K53)*L54</f>
        <v>-58996.800000000003</v>
      </c>
      <c r="L54" s="422">
        <v>0.1</v>
      </c>
      <c r="M54"/>
      <c r="N54"/>
    </row>
    <row r="55" spans="1:14" s="368" customFormat="1" ht="18.75" customHeight="1">
      <c r="A55" s="2612"/>
      <c r="B55" s="418" t="s">
        <v>3158</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7" t="s">
        <v>3159</v>
      </c>
      <c r="C56" s="4708">
        <f>SUM(C52:C55)</f>
        <v>548670.24</v>
      </c>
      <c r="D56" s="419"/>
      <c r="E56" s="4708">
        <f>SUM(E52:E55)</f>
        <v>530971.19999999995</v>
      </c>
      <c r="F56" s="419"/>
      <c r="G56" s="4708">
        <f>SUM(G52:G55)</f>
        <v>548670.24</v>
      </c>
      <c r="H56" s="419"/>
      <c r="I56" s="4708">
        <f>SUM(I52:I55)</f>
        <v>548670.24</v>
      </c>
      <c r="J56" s="419"/>
      <c r="K56" s="4708">
        <f>SUM(K52:K55)</f>
        <v>530971.19999999995</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3160</v>
      </c>
      <c r="C58" s="419">
        <f>+'Part V-Revenues &amp; Expenses'!F228+'Part V-Revenues &amp; Expenses'!F237+'Part V-Revenues &amp; Expenses'!L224+'Part V-Revenues &amp; Expenses'!L232</f>
        <v>19600</v>
      </c>
      <c r="D58" s="419"/>
      <c r="E58" s="419">
        <f>$C$58</f>
        <v>19600</v>
      </c>
      <c r="F58" s="419"/>
      <c r="G58" s="419">
        <f>$C$58</f>
        <v>19600</v>
      </c>
      <c r="H58" s="419"/>
      <c r="I58" s="419">
        <f>$C$58</f>
        <v>19600</v>
      </c>
      <c r="J58" s="419"/>
      <c r="K58" s="419">
        <f>$C$58</f>
        <v>19600</v>
      </c>
      <c r="L58" s="420"/>
      <c r="M58"/>
      <c r="N58"/>
    </row>
    <row r="59" spans="1:14" s="368" customFormat="1" ht="18.75" customHeight="1">
      <c r="A59" s="2612"/>
      <c r="B59" s="418" t="s">
        <v>3161</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12"/>
      <c r="B60" s="418" t="s">
        <v>1302</v>
      </c>
      <c r="C60" s="419">
        <f>+'Part V-Revenues &amp; Expenses'!L241</f>
        <v>18000</v>
      </c>
      <c r="D60" s="419"/>
      <c r="E60" s="419">
        <f>$C$60</f>
        <v>18000</v>
      </c>
      <c r="F60" s="419"/>
      <c r="G60" s="419">
        <f>$C$60</f>
        <v>18000</v>
      </c>
      <c r="H60" s="419"/>
      <c r="I60" s="419">
        <f>$C$60*(1+$J$50)</f>
        <v>18540</v>
      </c>
      <c r="J60" s="421"/>
      <c r="K60" s="419">
        <f>$C$60*(1+$J$50)</f>
        <v>18540</v>
      </c>
      <c r="L60" s="422">
        <v>0.03</v>
      </c>
      <c r="M60"/>
      <c r="N60"/>
    </row>
    <row r="61" spans="1:14" s="368" customFormat="1" ht="18.75" customHeight="1">
      <c r="A61" s="2612"/>
      <c r="B61" s="418" t="s">
        <v>1327</v>
      </c>
      <c r="C61" s="419">
        <f>+'Part V-Revenues &amp; Expenses'!L248</f>
        <v>15732</v>
      </c>
      <c r="D61" s="419"/>
      <c r="E61" s="419">
        <f>$C$61</f>
        <v>15732</v>
      </c>
      <c r="F61" s="419"/>
      <c r="G61" s="419">
        <f>$C$61*(1+H50)</f>
        <v>16518.600000000002</v>
      </c>
      <c r="H61" s="421"/>
      <c r="I61" s="419">
        <f>$C$61</f>
        <v>15732</v>
      </c>
      <c r="J61" s="419"/>
      <c r="K61" s="419">
        <f>$C$61*(1+$L$61)</f>
        <v>16518.600000000002</v>
      </c>
      <c r="L61" s="422">
        <v>0.05</v>
      </c>
      <c r="M61"/>
      <c r="N61"/>
    </row>
    <row r="62" spans="1:14" s="368" customFormat="1" ht="18.75" customHeight="1">
      <c r="A62" s="2612"/>
      <c r="B62" s="4707" t="s">
        <v>3162</v>
      </c>
      <c r="C62" s="4708">
        <f>SUM(C58:C61)</f>
        <v>53332</v>
      </c>
      <c r="D62" s="419"/>
      <c r="E62" s="4708">
        <f>SUM(E58:E61)</f>
        <v>53332</v>
      </c>
      <c r="F62" s="419"/>
      <c r="G62" s="4708">
        <f>SUM(G58:G61)</f>
        <v>54118.600000000006</v>
      </c>
      <c r="H62" s="419"/>
      <c r="I62" s="4708">
        <f>SUM(I58:I61)</f>
        <v>53872</v>
      </c>
      <c r="J62" s="419"/>
      <c r="K62" s="4708">
        <f>SUM(K58:K61)</f>
        <v>54658.600000000006</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95">
      <c r="A64"/>
      <c r="B64" s="425" t="s">
        <v>3163</v>
      </c>
      <c r="C64" s="426">
        <f>C56-C62</f>
        <v>495338.23999999999</v>
      </c>
      <c r="D64" s="426"/>
      <c r="E64" s="426">
        <f>E56-E62</f>
        <v>477639.19999999995</v>
      </c>
      <c r="F64" s="426"/>
      <c r="G64" s="426">
        <f>G56-G62</f>
        <v>494551.64</v>
      </c>
      <c r="H64" s="426"/>
      <c r="I64" s="426">
        <f>I56-I62</f>
        <v>494798.24</v>
      </c>
      <c r="J64" s="426"/>
      <c r="K64" s="426">
        <f>K56-K62</f>
        <v>476312.6</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95">
      <c r="A66"/>
      <c r="B66" s="418" t="s">
        <v>3164</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95">
      <c r="A68"/>
      <c r="B68" s="418" t="s">
        <v>3165</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95">
      <c r="A70"/>
      <c r="B70" s="4709" t="s">
        <v>3166</v>
      </c>
      <c r="C70" s="4710">
        <f>C64-C66-C68</f>
        <v>495338.23999999999</v>
      </c>
      <c r="D70" s="426"/>
      <c r="E70" s="4710">
        <f>E64-E66-E68</f>
        <v>477639.19999999995</v>
      </c>
      <c r="F70" s="426"/>
      <c r="G70" s="4710">
        <f>G64-G66-G68</f>
        <v>494551.64</v>
      </c>
      <c r="H70" s="426"/>
      <c r="I70" s="4710">
        <f>I64-I66-I68</f>
        <v>494798.24</v>
      </c>
      <c r="J70" s="426"/>
      <c r="K70" s="4710">
        <f>K64-K66-K68</f>
        <v>476312.6</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3167</v>
      </c>
      <c r="C72" s="757">
        <f>-C70/C75</f>
        <v>2.6254695144494051</v>
      </c>
      <c r="D72" s="428"/>
      <c r="E72" s="757">
        <f>-E70/E75</f>
        <v>2.5316582836528068</v>
      </c>
      <c r="F72" s="428"/>
      <c r="G72" s="757">
        <f>-G70/G75</f>
        <v>2.6213002536225689</v>
      </c>
      <c r="H72" s="428"/>
      <c r="I72" s="757">
        <f>-I70/I75</f>
        <v>2.6226073216621035</v>
      </c>
      <c r="J72" s="428"/>
      <c r="K72" s="757">
        <f>-K70/K75</f>
        <v>2.5246268300386694</v>
      </c>
      <c r="L72" s="3"/>
      <c r="M72" s="6"/>
      <c r="N72" s="6"/>
    </row>
    <row r="73" spans="1:14" s="368" customFormat="1" ht="18.75" customHeight="1">
      <c r="A73"/>
      <c r="B73" s="418" t="s">
        <v>3168</v>
      </c>
      <c r="C73" s="758">
        <f>C76/C62</f>
        <v>5.750238196419267</v>
      </c>
      <c r="D73" s="429"/>
      <c r="E73" s="758">
        <f>E76/E62</f>
        <v>5.418372899786851</v>
      </c>
      <c r="F73" s="429"/>
      <c r="G73" s="758">
        <f>G76/G62</f>
        <v>5.6521252118759975</v>
      </c>
      <c r="H73" s="429"/>
      <c r="I73" s="758">
        <f>I76/I62</f>
        <v>5.6825754286351415</v>
      </c>
      <c r="J73" s="429"/>
      <c r="K73" s="758">
        <f>K76/K62</f>
        <v>5.2625947882205599</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3169</v>
      </c>
      <c r="C75" s="419">
        <f>+SUM('Part VI-Pro Forma'!B26:B29)</f>
        <v>-188666.53650856763</v>
      </c>
      <c r="D75" s="419"/>
      <c r="E75" s="419">
        <f>$C$75</f>
        <v>-188666.53650856763</v>
      </c>
      <c r="F75" s="419"/>
      <c r="G75" s="419">
        <f>$C$75</f>
        <v>-188666.53650856763</v>
      </c>
      <c r="H75" s="419"/>
      <c r="I75" s="419">
        <f>$C$75</f>
        <v>-188666.53650856763</v>
      </c>
      <c r="J75" s="419"/>
      <c r="K75" s="419">
        <f>$C$75</f>
        <v>-188666.53650856763</v>
      </c>
      <c r="L75" s="11"/>
      <c r="M75"/>
      <c r="N75"/>
    </row>
    <row r="76" spans="1:14" s="368" customFormat="1" ht="18.75" customHeight="1">
      <c r="A76"/>
      <c r="B76" s="418" t="s">
        <v>453</v>
      </c>
      <c r="C76" s="419">
        <f>C70+C75</f>
        <v>306671.70349143236</v>
      </c>
      <c r="D76" s="419"/>
      <c r="E76" s="419">
        <f>E70+E75</f>
        <v>288972.66349143232</v>
      </c>
      <c r="F76" s="419"/>
      <c r="G76" s="419">
        <f>G70+G75</f>
        <v>305885.10349143238</v>
      </c>
      <c r="H76" s="419"/>
      <c r="I76" s="419">
        <f>I70+I75</f>
        <v>306131.70349143236</v>
      </c>
      <c r="J76" s="419"/>
      <c r="K76" s="419">
        <f>K70+K75</f>
        <v>287646.06349143235</v>
      </c>
      <c r="L76" s="11"/>
      <c r="M76"/>
      <c r="N76"/>
    </row>
    <row r="77" spans="1:14" s="368" customFormat="1" ht="15.95" hidden="1">
      <c r="A77"/>
      <c r="B77" s="418" t="s">
        <v>3170</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95" hidden="1">
      <c r="A78"/>
      <c r="B78" s="431" t="s">
        <v>3171</v>
      </c>
      <c r="C78" s="418"/>
      <c r="D78" s="418"/>
      <c r="E78" s="418"/>
      <c r="F78" s="418"/>
      <c r="G78" s="418"/>
      <c r="H78" s="418"/>
      <c r="I78" s="418"/>
      <c r="J78" s="418"/>
      <c r="K78" s="418"/>
      <c r="L78" s="11"/>
      <c r="M78"/>
      <c r="N78"/>
    </row>
    <row r="79" spans="1:14" s="368" customFormat="1" ht="15.95" hidden="1">
      <c r="A79"/>
      <c r="B79" s="418"/>
      <c r="C79" s="418"/>
      <c r="D79" s="418"/>
      <c r="E79" s="418"/>
      <c r="F79" s="418"/>
      <c r="G79" s="418"/>
      <c r="H79" s="418"/>
      <c r="I79" s="418"/>
      <c r="J79" s="418"/>
      <c r="K79" s="418"/>
      <c r="L79" s="11"/>
      <c r="M79"/>
      <c r="N79"/>
    </row>
    <row r="80" spans="1:14" s="368" customFormat="1" ht="17.100000000000001" hidden="1" thickBot="1">
      <c r="A80"/>
      <c r="B80" s="418" t="s">
        <v>3172</v>
      </c>
      <c r="C80" s="430" t="e">
        <f>MIN(C77,E77,G77,I77,K77)</f>
        <v>#NAME?</v>
      </c>
      <c r="D80" s="418"/>
      <c r="E80" s="418" t="s">
        <v>3173</v>
      </c>
      <c r="F80" s="432">
        <v>0.06</v>
      </c>
      <c r="G80" s="11"/>
      <c r="H80" s="11"/>
      <c r="I80" s="11"/>
      <c r="J80" s="11"/>
      <c r="K80" s="11"/>
      <c r="L80" s="11"/>
      <c r="M80"/>
      <c r="N80"/>
    </row>
    <row r="81" spans="1:14" s="368" customFormat="1" ht="15.95" hidden="1">
      <c r="A81"/>
      <c r="B81" s="418" t="s">
        <v>3174</v>
      </c>
      <c r="C81" s="430" t="e">
        <f>MAX(C77,E77,G77,I77,K77)</f>
        <v>#NAME?</v>
      </c>
      <c r="D81" s="418"/>
      <c r="E81" s="418"/>
      <c r="F81" s="418"/>
      <c r="G81" s="11"/>
      <c r="H81" s="11"/>
      <c r="I81" s="11"/>
      <c r="J81" s="11"/>
      <c r="K81" s="11"/>
      <c r="L81" s="11"/>
      <c r="M81"/>
      <c r="N81"/>
    </row>
    <row r="82" spans="1:14" s="368" customFormat="1" ht="15.95">
      <c r="A82"/>
      <c r="B82" s="418"/>
      <c r="C82" s="418"/>
      <c r="D82" s="418"/>
      <c r="E82" s="418" t="s">
        <v>3016</v>
      </c>
      <c r="F82" s="418"/>
      <c r="G82" s="11"/>
      <c r="H82" s="11"/>
      <c r="I82" s="11"/>
      <c r="J82" s="11"/>
      <c r="K82" s="11"/>
      <c r="L82" s="11"/>
      <c r="M82"/>
      <c r="N82"/>
    </row>
    <row r="83" spans="1:14" s="368" customFormat="1" ht="15.9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95"/>
  <cols>
    <col min="1" max="1" width="24.7109375" style="714" customWidth="1"/>
    <col min="2" max="2" width="13.7109375" style="714" customWidth="1"/>
    <col min="3" max="11" width="10.42578125" style="714" customWidth="1"/>
    <col min="12" max="12" width="9.7109375" style="714" customWidth="1"/>
    <col min="13" max="21" width="10.42578125" style="714" customWidth="1"/>
    <col min="22" max="16384" width="9.28515625" style="714"/>
  </cols>
  <sheetData>
    <row r="1" spans="1:7" ht="3" customHeight="1"/>
    <row r="2" spans="1:7">
      <c r="A2" s="713" t="s">
        <v>3175</v>
      </c>
    </row>
    <row r="3" spans="1:7" ht="3" customHeight="1"/>
    <row r="4" spans="1:7">
      <c r="A4" s="714" t="s">
        <v>3176</v>
      </c>
      <c r="B4" s="715">
        <f>'Part III-A-Uses of Funds'!G146</f>
        <v>17967647</v>
      </c>
    </row>
    <row r="5" spans="1:7">
      <c r="A5" s="714" t="s">
        <v>3177</v>
      </c>
      <c r="B5" s="715">
        <f>+B18+B26+B38</f>
        <v>2533094.0049872715</v>
      </c>
    </row>
    <row r="6" spans="1:7">
      <c r="A6" s="714" t="s">
        <v>3178</v>
      </c>
      <c r="B6" s="716">
        <f>+B5-B4</f>
        <v>-15434552.995012728</v>
      </c>
    </row>
    <row r="7" spans="1:7">
      <c r="A7" s="714" t="s">
        <v>3179</v>
      </c>
      <c r="B7" s="717">
        <f>+B6/B4</f>
        <v>-0.85901915787931105</v>
      </c>
    </row>
    <row r="8" spans="1:7" ht="9" customHeight="1"/>
    <row r="9" spans="1:7">
      <c r="A9" s="714" t="s">
        <v>3180</v>
      </c>
      <c r="B9" s="715">
        <f>+B18+B26+B33</f>
        <v>2533094.0049872715</v>
      </c>
    </row>
    <row r="10" spans="1:7">
      <c r="A10" s="714" t="s">
        <v>3178</v>
      </c>
      <c r="B10" s="716">
        <f>+B9-B4</f>
        <v>-15434552.995012728</v>
      </c>
    </row>
    <row r="11" spans="1:7">
      <c r="A11" s="714" t="s">
        <v>3179</v>
      </c>
      <c r="B11" s="717">
        <f>+B10/B4</f>
        <v>-0.85901915787931105</v>
      </c>
    </row>
    <row r="12" spans="1:7" ht="24" customHeight="1"/>
    <row r="13" spans="1:7">
      <c r="A13" s="713" t="s">
        <v>3181</v>
      </c>
      <c r="D13" s="763" t="s">
        <v>3182</v>
      </c>
      <c r="E13" s="764"/>
    </row>
    <row r="14" spans="1:7">
      <c r="A14" s="714" t="s">
        <v>3183</v>
      </c>
      <c r="B14" s="718">
        <f>+SUM('Part II-Sources of Funds'!L51:M52)</f>
        <v>15100046</v>
      </c>
      <c r="D14" s="764"/>
      <c r="E14" s="764"/>
    </row>
    <row r="15" spans="1:7">
      <c r="A15" s="714" t="s">
        <v>3184</v>
      </c>
      <c r="B15" s="719">
        <f>+'Part III-A-Uses of Funds'!J180</f>
        <v>1543764.7</v>
      </c>
      <c r="D15" s="764" t="s">
        <v>730</v>
      </c>
      <c r="G15" s="765">
        <f>'Part III-A-Uses of Funds'!J168</f>
        <v>12906028.438043945</v>
      </c>
    </row>
    <row r="16" spans="1:7" ht="12.75" customHeight="1">
      <c r="D16" s="764" t="s">
        <v>3185</v>
      </c>
      <c r="G16" s="769">
        <v>3.2800000000000003E-2</v>
      </c>
    </row>
    <row r="17" spans="1:7" ht="12.75" customHeight="1">
      <c r="A17" s="714" t="s">
        <v>3186</v>
      </c>
      <c r="B17" s="768">
        <v>1.45</v>
      </c>
      <c r="D17" s="764" t="s">
        <v>3187</v>
      </c>
      <c r="G17" s="770">
        <v>1.45</v>
      </c>
    </row>
    <row r="18" spans="1:7" ht="12.75" customHeight="1">
      <c r="A18" s="714" t="s">
        <v>3188</v>
      </c>
      <c r="B18" s="720">
        <f>+'Part III-A-Uses of Funds'!J190*B17*10</f>
        <v>0</v>
      </c>
      <c r="D18" s="764" t="s">
        <v>3189</v>
      </c>
      <c r="G18" s="770">
        <v>3.28</v>
      </c>
    </row>
    <row r="19" spans="1:7" ht="12.75" customHeight="1">
      <c r="D19" s="764" t="s">
        <v>3190</v>
      </c>
      <c r="G19" s="766">
        <f>+G15*G16*G17*10</f>
        <v>6138107.1251337007</v>
      </c>
    </row>
    <row r="20" spans="1:7">
      <c r="A20" s="714" t="s">
        <v>3191</v>
      </c>
      <c r="B20" s="718">
        <f>+B18-B14</f>
        <v>-15100046</v>
      </c>
      <c r="D20" s="764" t="s">
        <v>3192</v>
      </c>
      <c r="G20" s="767">
        <f>+B14-G19</f>
        <v>8961938.8748662993</v>
      </c>
    </row>
    <row r="21" spans="1:7">
      <c r="A21" s="714" t="s">
        <v>3193</v>
      </c>
      <c r="B21" s="717">
        <f>+B20/B14</f>
        <v>-1</v>
      </c>
      <c r="D21" s="764" t="s">
        <v>3194</v>
      </c>
      <c r="G21" s="764" t="str">
        <f>+IF(G20&gt;(B28+B35),"No","Yes")</f>
        <v>No</v>
      </c>
    </row>
    <row r="22" spans="1:7" ht="24" customHeight="1"/>
    <row r="23" spans="1:7">
      <c r="A23" s="713" t="s">
        <v>3195</v>
      </c>
    </row>
    <row r="24" spans="1:7">
      <c r="A24" s="714" t="s">
        <v>3196</v>
      </c>
      <c r="B24" s="721">
        <f>+SUM('Part II-Sources of Funds'!I40:J43)</f>
        <v>2530000</v>
      </c>
    </row>
    <row r="25" spans="1:7">
      <c r="A25" s="714" t="s">
        <v>3197</v>
      </c>
      <c r="B25" s="722">
        <f>IF('Part II-Sources of Funds'!E6="Yes","N/A",MAX(B46:P46))</f>
        <v>-1338.6634914323804</v>
      </c>
    </row>
    <row r="26" spans="1:7">
      <c r="A26" s="714" t="s">
        <v>3198</v>
      </c>
      <c r="B26" s="712">
        <f>IFERROR(PV('Part II-Sources of Funds'!K40,'Part II-Sources of Funds'!L40,B25+B45),B24)</f>
        <v>2533094.0049872715</v>
      </c>
    </row>
    <row r="27" spans="1:7" ht="9" customHeight="1">
      <c r="B27" s="712"/>
    </row>
    <row r="28" spans="1:7">
      <c r="A28" s="714" t="s">
        <v>3199</v>
      </c>
      <c r="B28" s="723">
        <f>+B26-B24</f>
        <v>3094.0049872715026</v>
      </c>
      <c r="C28" s="724"/>
    </row>
    <row r="29" spans="1:7">
      <c r="A29" s="714" t="s">
        <v>3193</v>
      </c>
      <c r="B29" s="725">
        <f>+B28/B24</f>
        <v>1.2229268724393292E-3</v>
      </c>
    </row>
    <row r="30" spans="1:7" ht="24" customHeight="1"/>
    <row r="31" spans="1:7">
      <c r="A31" s="713" t="s">
        <v>1394</v>
      </c>
    </row>
    <row r="32" spans="1:7">
      <c r="A32" s="714" t="s">
        <v>3200</v>
      </c>
      <c r="B32" s="726">
        <f>+'Part II-Sources of Funds'!I45</f>
        <v>339465</v>
      </c>
    </row>
    <row r="33" spans="1:11">
      <c r="A33" s="714" t="s">
        <v>3201</v>
      </c>
      <c r="B33" s="712"/>
    </row>
    <row r="34" spans="1:11" ht="9" customHeight="1">
      <c r="B34" s="712"/>
    </row>
    <row r="35" spans="1:11">
      <c r="A35" s="714" t="s">
        <v>3202</v>
      </c>
      <c r="B35" s="726">
        <f>+B33-B32</f>
        <v>-339465</v>
      </c>
    </row>
    <row r="36" spans="1:11">
      <c r="A36" s="714" t="s">
        <v>3203</v>
      </c>
      <c r="B36" s="711">
        <f>+B35/B32</f>
        <v>-1</v>
      </c>
    </row>
    <row r="37" spans="1:11" ht="24" customHeight="1">
      <c r="B37" s="712"/>
    </row>
    <row r="38" spans="1:11">
      <c r="A38" s="713" t="s">
        <v>3204</v>
      </c>
      <c r="B38" s="712">
        <f>+SUM('Part II-Sources of Funds'!I44,'Part II-Sources of Funds'!I49,'Part II-Sources of Funds'!I50,'Part II-Sources of Funds'!I53:I59)</f>
        <v>0</v>
      </c>
    </row>
    <row r="39" spans="1:11">
      <c r="B39" s="712"/>
    </row>
    <row r="40" spans="1:11">
      <c r="B40" s="712"/>
    </row>
    <row r="41" spans="1:11">
      <c r="B41" s="712"/>
    </row>
    <row r="42" spans="1:11">
      <c r="A42" s="713" t="s">
        <v>3205</v>
      </c>
      <c r="B42" s="712"/>
    </row>
    <row r="43" spans="1:11">
      <c r="A43" s="714" t="s">
        <v>494</v>
      </c>
      <c r="B43" s="771">
        <v>1</v>
      </c>
      <c r="C43" s="771">
        <v>2</v>
      </c>
      <c r="D43" s="771">
        <v>3</v>
      </c>
      <c r="E43" s="771">
        <v>4</v>
      </c>
      <c r="F43" s="771">
        <v>5</v>
      </c>
      <c r="G43" s="771">
        <v>6</v>
      </c>
      <c r="H43" s="771">
        <v>7</v>
      </c>
      <c r="I43" s="771">
        <v>8</v>
      </c>
      <c r="J43" s="771">
        <v>9</v>
      </c>
      <c r="K43" s="771">
        <v>10</v>
      </c>
    </row>
    <row r="44" spans="1:11">
      <c r="A44" s="714" t="s">
        <v>1390</v>
      </c>
      <c r="B44" s="715">
        <f>+'Part VI-Pro Forma'!B25</f>
        <v>228006.24</v>
      </c>
      <c r="C44" s="715">
        <f>+'Part VI-Pro Forma'!C25</f>
        <v>229634.74479999999</v>
      </c>
      <c r="D44" s="715">
        <f>+'Part VI-Pro Forma'!D25</f>
        <v>231206.81069599994</v>
      </c>
      <c r="E44" s="715">
        <f>+'Part VI-Pro Forma'!E25</f>
        <v>232719.90983991994</v>
      </c>
      <c r="F44" s="715">
        <f>+'Part VI-Pro Forma'!F25</f>
        <v>234170.36465461849</v>
      </c>
      <c r="G44" s="715">
        <f>+'Part VI-Pro Forma'!G25</f>
        <v>235553.34246414792</v>
      </c>
      <c r="H44" s="715">
        <f>+'Part VI-Pro Forma'!H25</f>
        <v>236864.84994536085</v>
      </c>
      <c r="I44" s="715">
        <f>+'Part VI-Pro Forma'!I25</f>
        <v>238101.72739515602</v>
      </c>
      <c r="J44" s="715">
        <f>+'Part VI-Pro Forma'!J25</f>
        <v>239256.64280747384</v>
      </c>
      <c r="K44" s="715">
        <f>+'Part VI-Pro Forma'!K25</f>
        <v>240327.08575397037</v>
      </c>
    </row>
    <row r="45" spans="1:11">
      <c r="A45" s="714" t="s">
        <v>3206</v>
      </c>
      <c r="B45" s="715">
        <f>SUM('Part VI-Pro Forma'!B26:B29)</f>
        <v>-188666.53650856763</v>
      </c>
      <c r="C45" s="715">
        <f>SUM('Part VI-Pro Forma'!C26:C29)</f>
        <v>-188666.53650856763</v>
      </c>
      <c r="D45" s="715">
        <f>SUM('Part VI-Pro Forma'!D26:D29)</f>
        <v>-188666.53650856763</v>
      </c>
      <c r="E45" s="715">
        <f>SUM('Part VI-Pro Forma'!E26:E29)</f>
        <v>-188666.53650856763</v>
      </c>
      <c r="F45" s="715">
        <f>SUM('Part VI-Pro Forma'!F26:F29)</f>
        <v>-188666.53650856763</v>
      </c>
      <c r="G45" s="715">
        <f>SUM('Part VI-Pro Forma'!G26:G29)</f>
        <v>-188666.53650856763</v>
      </c>
      <c r="H45" s="715">
        <f>SUM('Part VI-Pro Forma'!H26:H29)</f>
        <v>-188666.53650856763</v>
      </c>
      <c r="I45" s="715">
        <f>SUM('Part VI-Pro Forma'!I26:I29)</f>
        <v>-188666.53650856763</v>
      </c>
      <c r="J45" s="715">
        <f>SUM('Part VI-Pro Forma'!J26:J29)</f>
        <v>-188666.53650856763</v>
      </c>
      <c r="K45" s="715">
        <f>SUM('Part VI-Pro Forma'!K26:K29)</f>
        <v>-188666.53650856763</v>
      </c>
    </row>
    <row r="46" spans="1:11">
      <c r="A46" s="714" t="s">
        <v>3207</v>
      </c>
      <c r="B46" s="716">
        <f t="shared" ref="B46:K46" si="0">-B44/B48-B45</f>
        <v>-1338.6634914323804</v>
      </c>
      <c r="C46" s="716">
        <f t="shared" si="0"/>
        <v>-2695.7508247657097</v>
      </c>
      <c r="D46" s="716">
        <f t="shared" si="0"/>
        <v>-4005.8057380990067</v>
      </c>
      <c r="E46" s="716">
        <f t="shared" si="0"/>
        <v>-5266.7216913656739</v>
      </c>
      <c r="F46" s="716">
        <f t="shared" si="0"/>
        <v>-6475.4340369477868</v>
      </c>
      <c r="G46" s="716">
        <f t="shared" si="0"/>
        <v>-7627.9155448889651</v>
      </c>
      <c r="H46" s="716">
        <f t="shared" si="0"/>
        <v>-8720.8384458997461</v>
      </c>
      <c r="I46" s="716">
        <f t="shared" si="0"/>
        <v>-9751.5696540623903</v>
      </c>
      <c r="J46" s="716">
        <f t="shared" si="0"/>
        <v>-10713.999164327251</v>
      </c>
      <c r="K46" s="716">
        <f t="shared" si="0"/>
        <v>-11606.034953074355</v>
      </c>
    </row>
    <row r="48" spans="1:11">
      <c r="A48" s="714" t="s">
        <v>3208</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453</v>
      </c>
    </row>
    <row r="51" spans="1:17">
      <c r="A51" s="714" t="s">
        <v>1390</v>
      </c>
      <c r="B51" s="716">
        <f>+B44</f>
        <v>228006.24</v>
      </c>
      <c r="C51" s="716">
        <f t="shared" ref="C51:K51" si="2">+C44</f>
        <v>229634.74479999999</v>
      </c>
      <c r="D51" s="716">
        <f t="shared" si="2"/>
        <v>231206.81069599994</v>
      </c>
      <c r="E51" s="716">
        <f t="shared" si="2"/>
        <v>232719.90983991994</v>
      </c>
      <c r="F51" s="716">
        <f t="shared" si="2"/>
        <v>234170.36465461849</v>
      </c>
      <c r="G51" s="716">
        <f t="shared" si="2"/>
        <v>235553.34246414792</v>
      </c>
      <c r="H51" s="716">
        <f t="shared" si="2"/>
        <v>236864.84994536085</v>
      </c>
      <c r="I51" s="716">
        <f t="shared" si="2"/>
        <v>238101.72739515602</v>
      </c>
      <c r="J51" s="716">
        <f t="shared" si="2"/>
        <v>239256.64280747384</v>
      </c>
      <c r="K51" s="716">
        <f t="shared" si="2"/>
        <v>240327.08575397037</v>
      </c>
    </row>
    <row r="52" spans="1:17">
      <c r="A52" s="714" t="s">
        <v>3209</v>
      </c>
      <c r="B52" s="716">
        <f>IF($B$25="N/A",B45,B45+$B$25)</f>
        <v>-190005.2</v>
      </c>
      <c r="C52" s="716">
        <f t="shared" ref="C52:K52" si="3">IF($B$25="N/A",C45,C45+$B$25)</f>
        <v>-190005.2</v>
      </c>
      <c r="D52" s="716">
        <f t="shared" si="3"/>
        <v>-190005.2</v>
      </c>
      <c r="E52" s="716">
        <f t="shared" si="3"/>
        <v>-190005.2</v>
      </c>
      <c r="F52" s="716">
        <f t="shared" si="3"/>
        <v>-190005.2</v>
      </c>
      <c r="G52" s="716">
        <f t="shared" si="3"/>
        <v>-190005.2</v>
      </c>
      <c r="H52" s="716">
        <f t="shared" si="3"/>
        <v>-190005.2</v>
      </c>
      <c r="I52" s="716">
        <f t="shared" si="3"/>
        <v>-190005.2</v>
      </c>
      <c r="J52" s="716">
        <f t="shared" si="3"/>
        <v>-190005.2</v>
      </c>
      <c r="K52" s="716">
        <f t="shared" si="3"/>
        <v>-190005.2</v>
      </c>
    </row>
    <row r="53" spans="1:17">
      <c r="A53" s="714" t="s">
        <v>3210</v>
      </c>
      <c r="B53" s="715">
        <f>+'Part VI-Pro Forma'!B31</f>
        <v>-9000</v>
      </c>
      <c r="C53" s="715">
        <f>+'Part VI-Pro Forma'!C31</f>
        <v>-9270</v>
      </c>
      <c r="D53" s="715">
        <f>+'Part VI-Pro Forma'!D31</f>
        <v>-9548.1</v>
      </c>
      <c r="E53" s="715">
        <f>+'Part VI-Pro Forma'!E31</f>
        <v>-9834.5430000000015</v>
      </c>
      <c r="F53" s="715">
        <f>+'Part VI-Pro Forma'!F31</f>
        <v>-10129.579290000001</v>
      </c>
      <c r="G53" s="715">
        <f>+'Part VI-Pro Forma'!G31</f>
        <v>-10433.466668700003</v>
      </c>
      <c r="H53" s="715">
        <f>+'Part VI-Pro Forma'!H31</f>
        <v>-10746.470668761003</v>
      </c>
      <c r="I53" s="715">
        <f>+'Part VI-Pro Forma'!I31</f>
        <v>-11068.864788823834</v>
      </c>
      <c r="J53" s="715">
        <f>+'Part VI-Pro Forma'!J31</f>
        <v>-11400.930732488549</v>
      </c>
      <c r="K53" s="715">
        <f>+'Part VI-Pro Forma'!K31</f>
        <v>-11742.958654463206</v>
      </c>
    </row>
    <row r="54" spans="1:17">
      <c r="A54" s="714" t="s">
        <v>3211</v>
      </c>
      <c r="B54" s="716">
        <f>+SUM(B51:B53)</f>
        <v>29001.039999999979</v>
      </c>
      <c r="C54" s="716">
        <f t="shared" ref="C54:K54" si="4">+SUM(C51:C53)</f>
        <v>30359.544799999974</v>
      </c>
      <c r="D54" s="716">
        <f t="shared" si="4"/>
        <v>31653.510695999932</v>
      </c>
      <c r="E54" s="716">
        <f t="shared" si="4"/>
        <v>32880.166839919926</v>
      </c>
      <c r="F54" s="716">
        <f t="shared" si="4"/>
        <v>34035.585364618477</v>
      </c>
      <c r="G54" s="716">
        <f t="shared" si="4"/>
        <v>35114.675795447911</v>
      </c>
      <c r="H54" s="716">
        <f t="shared" si="4"/>
        <v>36113.17927659984</v>
      </c>
      <c r="I54" s="716">
        <f t="shared" si="4"/>
        <v>37027.662606332175</v>
      </c>
      <c r="J54" s="716">
        <f t="shared" si="4"/>
        <v>37850.512074985279</v>
      </c>
      <c r="K54" s="716">
        <f t="shared" si="4"/>
        <v>38578.927099507157</v>
      </c>
    </row>
    <row r="55" spans="1:17">
      <c r="A55" s="714" t="s">
        <v>1394</v>
      </c>
      <c r="B55" s="716">
        <f>-B54</f>
        <v>-29001.039999999979</v>
      </c>
      <c r="C55" s="716">
        <f t="shared" ref="C55:K55" si="5">-C54</f>
        <v>-30359.544799999974</v>
      </c>
      <c r="D55" s="716">
        <f t="shared" si="5"/>
        <v>-31653.510695999932</v>
      </c>
      <c r="E55" s="716">
        <f t="shared" si="5"/>
        <v>-32880.166839919926</v>
      </c>
      <c r="F55" s="716">
        <f t="shared" si="5"/>
        <v>-34035.585364618477</v>
      </c>
      <c r="G55" s="716">
        <f t="shared" si="5"/>
        <v>-35114.675795447911</v>
      </c>
      <c r="H55" s="716">
        <f t="shared" si="5"/>
        <v>-36113.17927659984</v>
      </c>
      <c r="I55" s="716">
        <f t="shared" si="5"/>
        <v>-37027.662606332175</v>
      </c>
      <c r="J55" s="716">
        <f t="shared" si="5"/>
        <v>-37850.512074985279</v>
      </c>
      <c r="K55" s="716">
        <f t="shared" si="5"/>
        <v>-38578.927099507157</v>
      </c>
    </row>
    <row r="56" spans="1:17">
      <c r="A56" s="714" t="s">
        <v>3212</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3213</v>
      </c>
      <c r="B58" s="715">
        <f>IF($B$26="","",-FV('Part II-Sources of Funds'!$K$40/12,12,B52/12,B26))</f>
        <v>2519990.2715513152</v>
      </c>
      <c r="C58" s="715">
        <f>IF($B$26="","",-FV('Part II-Sources of Funds'!$K$40/12,12,C52/12,C26))</f>
        <v>-196221.30387293248</v>
      </c>
      <c r="D58" s="715">
        <f>IF($B$26="","",-FV('Part II-Sources of Funds'!$K$40/12,12,D52/12,D26))</f>
        <v>-196221.30387293248</v>
      </c>
      <c r="E58" s="715">
        <f>IF($B$26="","",-FV('Part II-Sources of Funds'!$K$40/12,12,E52/12,E26))</f>
        <v>-196221.30387293248</v>
      </c>
      <c r="F58" s="715">
        <f>IF($B$26="","",-FV('Part II-Sources of Funds'!$K$40/12,12,F52/12,F26))</f>
        <v>-196221.30387293248</v>
      </c>
      <c r="G58" s="715">
        <f>IF($B$26="","",-FV('Part II-Sources of Funds'!$K$40/12,12,G52/12,G26))</f>
        <v>-196221.30387293248</v>
      </c>
      <c r="H58" s="715">
        <f>IF($B$26="","",-FV('Part II-Sources of Funds'!$K$40/12,12,H52/12,H26))</f>
        <v>-196221.30387293248</v>
      </c>
      <c r="I58" s="715">
        <f>IF($B$26="","",-FV('Part II-Sources of Funds'!$K$40/12,12,I52/12,I26))</f>
        <v>-196221.30387293248</v>
      </c>
      <c r="J58" s="715">
        <f>IF($B$26="","",-FV('Part II-Sources of Funds'!$K$40/12,12,J52/12,J26))</f>
        <v>-196221.30387293248</v>
      </c>
      <c r="K58" s="715">
        <f>IF($B$26="","",-FV('Part II-Sources of Funds'!$K$40/12,12,K52/12,K26))</f>
        <v>-196221.30387293248</v>
      </c>
    </row>
    <row r="59" spans="1:17">
      <c r="A59" s="714" t="s">
        <v>1402</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3205</v>
      </c>
    </row>
    <row r="63" spans="1:17">
      <c r="A63" s="714" t="s">
        <v>494</v>
      </c>
      <c r="B63" s="771">
        <v>11</v>
      </c>
      <c r="C63" s="771">
        <v>12</v>
      </c>
      <c r="D63" s="771">
        <v>13</v>
      </c>
      <c r="E63" s="771">
        <v>14</v>
      </c>
      <c r="F63" s="771">
        <v>15</v>
      </c>
      <c r="G63" s="771">
        <v>16</v>
      </c>
      <c r="H63" s="771">
        <v>17</v>
      </c>
      <c r="I63" s="771">
        <v>18</v>
      </c>
      <c r="J63" s="771">
        <v>19</v>
      </c>
      <c r="K63" s="771">
        <v>20</v>
      </c>
    </row>
    <row r="64" spans="1:17">
      <c r="A64" s="714" t="s">
        <v>1390</v>
      </c>
      <c r="B64" s="715">
        <f>+'Part VI-Pro Forma'!B57</f>
        <v>241308.36106210737</v>
      </c>
      <c r="C64" s="715">
        <f>+'Part VI-Pro Forma'!C57</f>
        <v>242193.58228419861</v>
      </c>
      <c r="D64" s="715">
        <f>+'Part VI-Pro Forma'!D57</f>
        <v>242978.66495075746</v>
      </c>
      <c r="E64" s="715">
        <f>+'Part VI-Pro Forma'!E57</f>
        <v>243657.31960127351</v>
      </c>
      <c r="F64" s="715">
        <f>+'Part VI-Pro Forma'!F57</f>
        <v>244224.04458534511</v>
      </c>
      <c r="G64" s="715">
        <f>+'Part VI-Pro Forma'!G57</f>
        <v>244673.11862685898</v>
      </c>
      <c r="H64" s="715">
        <f>+'Part VI-Pro Forma'!H57</f>
        <v>244998.593143698</v>
      </c>
      <c r="I64" s="715">
        <f>+'Part VI-Pro Forma'!I57</f>
        <v>245192.28431520259</v>
      </c>
      <c r="J64" s="715">
        <f>+'Part VI-Pro Forma'!J57</f>
        <v>245249.76488939612</v>
      </c>
      <c r="K64" s="715">
        <f>+'Part VI-Pro Forma'!K57</f>
        <v>245163.35572171028</v>
      </c>
    </row>
    <row r="65" spans="1:11">
      <c r="A65" s="714" t="s">
        <v>3206</v>
      </c>
      <c r="B65" s="715">
        <f>SUM('Part VI-Pro Forma'!B58:B61)</f>
        <v>-188666.53650856763</v>
      </c>
      <c r="C65" s="715">
        <f>SUM('Part VI-Pro Forma'!C58:C61)</f>
        <v>-188666.53650856763</v>
      </c>
      <c r="D65" s="715">
        <f>SUM('Part VI-Pro Forma'!D58:D61)</f>
        <v>-188666.53650856763</v>
      </c>
      <c r="E65" s="715">
        <f>SUM('Part VI-Pro Forma'!E58:E61)</f>
        <v>-188666.53650856763</v>
      </c>
      <c r="F65" s="715">
        <f>SUM('Part VI-Pro Forma'!F58:F61)</f>
        <v>-188666.53650856763</v>
      </c>
      <c r="G65" s="715">
        <f>SUM('Part VI-Pro Forma'!G58:G61)</f>
        <v>-188666.53650856763</v>
      </c>
      <c r="H65" s="715">
        <f>SUM('Part VI-Pro Forma'!H58:H61)</f>
        <v>-188666.53650856763</v>
      </c>
      <c r="I65" s="715">
        <f>SUM('Part VI-Pro Forma'!I58:I61)</f>
        <v>-188666.53650856763</v>
      </c>
      <c r="J65" s="715">
        <f>SUM('Part VI-Pro Forma'!J58:J61)</f>
        <v>-188666.53650856763</v>
      </c>
      <c r="K65" s="715">
        <f>SUM('Part VI-Pro Forma'!K58:K61)</f>
        <v>-188666.53650856763</v>
      </c>
    </row>
    <row r="66" spans="1:11">
      <c r="A66" s="714" t="s">
        <v>3207</v>
      </c>
      <c r="B66" s="716">
        <f t="shared" ref="B66:K66" si="7">-B64/B68-B65</f>
        <v>-12423.764376521867</v>
      </c>
      <c r="C66" s="716">
        <f t="shared" si="7"/>
        <v>-13161.448728264542</v>
      </c>
      <c r="D66" s="716">
        <f t="shared" si="7"/>
        <v>-13815.684283730254</v>
      </c>
      <c r="E66" s="716">
        <f t="shared" si="7"/>
        <v>-14381.229825826973</v>
      </c>
      <c r="F66" s="716">
        <f t="shared" si="7"/>
        <v>-14853.500645886641</v>
      </c>
      <c r="G66" s="716">
        <f t="shared" si="7"/>
        <v>-15227.729013814853</v>
      </c>
      <c r="H66" s="716">
        <f t="shared" si="7"/>
        <v>-15498.95777784739</v>
      </c>
      <c r="I66" s="716">
        <f t="shared" si="7"/>
        <v>-15660.367087434541</v>
      </c>
      <c r="J66" s="716">
        <f t="shared" si="7"/>
        <v>-15708.267565929127</v>
      </c>
      <c r="K66" s="716">
        <f t="shared" si="7"/>
        <v>-15636.259926190949</v>
      </c>
    </row>
    <row r="68" spans="1:11">
      <c r="A68" s="714" t="s">
        <v>3208</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453</v>
      </c>
    </row>
    <row r="71" spans="1:11">
      <c r="A71" s="714" t="s">
        <v>1390</v>
      </c>
      <c r="B71" s="716">
        <f t="shared" ref="B71:G71" si="9">+B64</f>
        <v>241308.36106210737</v>
      </c>
      <c r="C71" s="716">
        <f t="shared" si="9"/>
        <v>242193.58228419861</v>
      </c>
      <c r="D71" s="716">
        <f t="shared" si="9"/>
        <v>242978.66495075746</v>
      </c>
      <c r="E71" s="716">
        <f t="shared" si="9"/>
        <v>243657.31960127351</v>
      </c>
      <c r="F71" s="716">
        <f t="shared" si="9"/>
        <v>244224.04458534511</v>
      </c>
      <c r="G71" s="716">
        <f t="shared" si="9"/>
        <v>244673.11862685898</v>
      </c>
      <c r="H71" s="716">
        <f>+H64</f>
        <v>244998.593143698</v>
      </c>
      <c r="I71" s="716">
        <f>+I64</f>
        <v>245192.28431520259</v>
      </c>
      <c r="J71" s="716">
        <f>+J64</f>
        <v>245249.76488939612</v>
      </c>
      <c r="K71" s="716">
        <f>+K64</f>
        <v>245163.35572171028</v>
      </c>
    </row>
    <row r="72" spans="1:11">
      <c r="A72" s="714" t="s">
        <v>3209</v>
      </c>
      <c r="B72" s="716">
        <f t="shared" ref="B72:G72" si="10">IF($B$25="N/A",B65,B65+$B$25)</f>
        <v>-190005.2</v>
      </c>
      <c r="C72" s="716">
        <f t="shared" si="10"/>
        <v>-190005.2</v>
      </c>
      <c r="D72" s="716">
        <f t="shared" si="10"/>
        <v>-190005.2</v>
      </c>
      <c r="E72" s="716">
        <f t="shared" si="10"/>
        <v>-190005.2</v>
      </c>
      <c r="F72" s="716">
        <f t="shared" si="10"/>
        <v>-190005.2</v>
      </c>
      <c r="G72" s="716">
        <f t="shared" si="10"/>
        <v>-190005.2</v>
      </c>
      <c r="H72" s="716">
        <f>IF($B$25="N/A",H65,H65+$B$25)</f>
        <v>-190005.2</v>
      </c>
      <c r="I72" s="716">
        <f>IF($B$25="N/A",I65,I65+$B$25)</f>
        <v>-190005.2</v>
      </c>
      <c r="J72" s="716">
        <f>IF($B$25="N/A",J65,J65+$B$25)</f>
        <v>-190005.2</v>
      </c>
      <c r="K72" s="716">
        <f>IF($B$25="N/A",K65,K65+$B$25)</f>
        <v>-190005.2</v>
      </c>
    </row>
    <row r="73" spans="1:11">
      <c r="A73" s="714" t="s">
        <v>3210</v>
      </c>
      <c r="B73" s="715">
        <f>+'Part VI-Pro Forma'!B63</f>
        <v>-12095.247414097103</v>
      </c>
      <c r="C73" s="715">
        <f>+'Part VI-Pro Forma'!C63</f>
        <v>-12458.104836520017</v>
      </c>
      <c r="D73" s="715">
        <f>+'Part VI-Pro Forma'!D63</f>
        <v>-12831.847981615618</v>
      </c>
      <c r="E73" s="715">
        <f>+'Part VI-Pro Forma'!E63</f>
        <v>-13216.803421064087</v>
      </c>
      <c r="F73" s="715">
        <f>+'Part VI-Pro Forma'!F63</f>
        <v>-13613.30752369601</v>
      </c>
      <c r="G73" s="715">
        <f>+'Part VI-Pro Forma'!G63</f>
        <v>-14021.706749406891</v>
      </c>
      <c r="H73" s="715">
        <f>+'Part VI-Pro Forma'!H63</f>
        <v>-14442.357951889098</v>
      </c>
      <c r="I73" s="715">
        <f>+'Part VI-Pro Forma'!I63</f>
        <v>-14875.628690445772</v>
      </c>
      <c r="J73" s="715">
        <f>+'Part VI-Pro Forma'!J63</f>
        <v>-15321.897551159145</v>
      </c>
      <c r="K73" s="715">
        <f>+'Part VI-Pro Forma'!K63</f>
        <v>-15781.55447769392</v>
      </c>
    </row>
    <row r="74" spans="1:11">
      <c r="A74" s="714" t="s">
        <v>3211</v>
      </c>
      <c r="B74" s="716">
        <f t="shared" ref="B74:G74" si="11">+SUM(B71:B73)</f>
        <v>39207.913648010261</v>
      </c>
      <c r="C74" s="716">
        <f t="shared" si="11"/>
        <v>39730.277447678578</v>
      </c>
      <c r="D74" s="716">
        <f t="shared" si="11"/>
        <v>40141.616969141833</v>
      </c>
      <c r="E74" s="716">
        <f t="shared" si="11"/>
        <v>40435.316180209411</v>
      </c>
      <c r="F74" s="716">
        <f t="shared" si="11"/>
        <v>40605.537061649084</v>
      </c>
      <c r="G74" s="716">
        <f t="shared" si="11"/>
        <v>40646.211877452079</v>
      </c>
      <c r="H74" s="716">
        <f>+SUM(H71:H73)</f>
        <v>40551.035191808893</v>
      </c>
      <c r="I74" s="716">
        <f>+SUM(I71:I73)</f>
        <v>40311.455624756803</v>
      </c>
      <c r="J74" s="716">
        <f>+SUM(J71:J73)</f>
        <v>39922.667338236963</v>
      </c>
      <c r="K74" s="716">
        <f>+SUM(K71:K73)</f>
        <v>39376.601244016347</v>
      </c>
    </row>
    <row r="75" spans="1:11">
      <c r="A75" s="714" t="s">
        <v>1394</v>
      </c>
      <c r="B75" s="716">
        <f t="shared" ref="B75:G75" si="12">-B74</f>
        <v>-39207.913648010261</v>
      </c>
      <c r="C75" s="716">
        <f t="shared" si="12"/>
        <v>-39730.277447678578</v>
      </c>
      <c r="D75" s="716">
        <f t="shared" si="12"/>
        <v>-40141.616969141833</v>
      </c>
      <c r="E75" s="716">
        <f t="shared" si="12"/>
        <v>-40435.316180209411</v>
      </c>
      <c r="F75" s="716">
        <f t="shared" si="12"/>
        <v>-40605.537061649084</v>
      </c>
      <c r="G75" s="716">
        <f t="shared" si="12"/>
        <v>-40646.211877452079</v>
      </c>
      <c r="H75" s="716">
        <f>-H74</f>
        <v>-40551.035191808893</v>
      </c>
      <c r="I75" s="716">
        <f>-I74</f>
        <v>-40311.455624756803</v>
      </c>
      <c r="J75" s="716">
        <f>-J74</f>
        <v>-39922.667338236963</v>
      </c>
      <c r="K75" s="716">
        <f>-K74</f>
        <v>-39376.601244016347</v>
      </c>
    </row>
    <row r="76" spans="1:11">
      <c r="A76" s="714" t="s">
        <v>3212</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3213</v>
      </c>
      <c r="B78" s="715">
        <f>IF($B$26="","",-FV('Part II-Sources of Funds'!$K$40/12,12,B72/12,K58))</f>
        <v>-406627.46166855528</v>
      </c>
      <c r="C78" s="715">
        <f>IF($B$26="","",-FV('Part II-Sources of Funds'!$K$40/12,12,C72/12,L58))</f>
        <v>-196221.30387293248</v>
      </c>
      <c r="D78" s="715">
        <f>IF($B$26="","",-FV('Part II-Sources of Funds'!$K$40/12,12,D72/12,M58))</f>
        <v>-196221.30387293248</v>
      </c>
      <c r="E78" s="715">
        <f>IF($B$26="","",-FV('Part II-Sources of Funds'!$K$40/12,12,E72/12,N58))</f>
        <v>-196221.30387293248</v>
      </c>
      <c r="F78" s="715">
        <f>IF($B$26="","",-FV('Part II-Sources of Funds'!$K$40/12,12,F72/12,O58))</f>
        <v>-196221.30387293248</v>
      </c>
      <c r="G78" s="715">
        <f>IF($B$26="","",-FV('Part II-Sources of Funds'!$K$40/12,12,G72/12,P58))</f>
        <v>-196221.30387293248</v>
      </c>
      <c r="H78" s="715">
        <f>IF($B$26="","",-FV('Part II-Sources of Funds'!$K$40/12,12,H72/12,Q58))</f>
        <v>-196221.30387293248</v>
      </c>
      <c r="I78" s="715">
        <f>IF($B$26="","",-FV('Part II-Sources of Funds'!$K$40/12,12,I72/12,R58))</f>
        <v>-196221.30387293248</v>
      </c>
      <c r="J78" s="715">
        <f>IF($B$26="","",-FV('Part II-Sources of Funds'!$K$40/12,12,J72/12,S58))</f>
        <v>-196221.30387293248</v>
      </c>
      <c r="K78" s="715">
        <f>IF($B$26="","",-FV('Part II-Sources of Funds'!$K$40/12,12,K72/12,T58))</f>
        <v>-196221.30387293248</v>
      </c>
    </row>
    <row r="79" spans="1:11">
      <c r="A79" s="714" t="s">
        <v>1402</v>
      </c>
    </row>
    <row r="82" spans="1:2">
      <c r="A82" s="714" t="s">
        <v>3214</v>
      </c>
      <c r="B82" s="768" t="s">
        <v>336</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1"/>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42578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3215</v>
      </c>
      <c r="B1" s="377"/>
      <c r="C1" s="376" t="str">
        <f>'Sensitivity Analysis'!C8</f>
        <v>Abbington Blue Ridge</v>
      </c>
    </row>
    <row r="2" spans="1:15" ht="13.5" customHeight="1"/>
    <row r="3" spans="1:15" ht="13.5" customHeight="1">
      <c r="A3" s="377" t="s">
        <v>3216</v>
      </c>
      <c r="C3" s="376" t="s">
        <v>3217</v>
      </c>
      <c r="E3" s="433">
        <f>SUM('Part III-A-Uses of Funds'!J162,'Part III-A-Uses of Funds'!M162,'Part III-A-Uses of Funds'!P162)</f>
        <v>14423689</v>
      </c>
      <c r="F3" s="2613" t="s">
        <v>3218</v>
      </c>
      <c r="H3" s="759">
        <v>27.5</v>
      </c>
      <c r="I3" s="376" t="s">
        <v>512</v>
      </c>
      <c r="K3" s="381" t="s">
        <v>3219</v>
      </c>
      <c r="M3" s="2613"/>
      <c r="O3" s="434"/>
    </row>
    <row r="4" spans="1:15" ht="13.5" customHeight="1">
      <c r="C4" s="376" t="s">
        <v>3220</v>
      </c>
      <c r="E4" s="433">
        <f>SUM('Part III-A-Uses of Funds'!G97:H101)</f>
        <v>168250</v>
      </c>
      <c r="F4" s="2613" t="s">
        <v>3221</v>
      </c>
      <c r="H4" s="377">
        <f>'Part II-Sources of Funds'!M40</f>
        <v>40</v>
      </c>
      <c r="I4" s="376" t="s">
        <v>512</v>
      </c>
      <c r="K4" s="435" t="s">
        <v>3222</v>
      </c>
      <c r="M4" s="2613"/>
    </row>
    <row r="5" spans="1:15" ht="13.5" customHeight="1">
      <c r="C5" s="376" t="s">
        <v>3223</v>
      </c>
      <c r="E5" s="433">
        <f>SUM('Part III-A-Uses of Funds'!G105:H111)</f>
        <v>162424</v>
      </c>
      <c r="F5" s="2613" t="s">
        <v>3224</v>
      </c>
      <c r="H5" s="759">
        <v>15</v>
      </c>
      <c r="I5" s="376" t="s">
        <v>512</v>
      </c>
      <c r="K5" s="434">
        <f>-E6</f>
        <v>-15098182</v>
      </c>
    </row>
    <row r="6" spans="1:15" ht="13.5" customHeight="1">
      <c r="C6" s="376" t="s">
        <v>3225</v>
      </c>
      <c r="E6" s="436">
        <f>'Part II-Sources of Funds'!$I$51+'Part II-Sources of Funds'!$I$52</f>
        <v>15098182</v>
      </c>
      <c r="F6" s="2613" t="s">
        <v>3226</v>
      </c>
      <c r="H6" s="437">
        <v>0.35</v>
      </c>
      <c r="K6" s="434" t="e">
        <f>C24</f>
        <v>#VALUE!</v>
      </c>
      <c r="M6" s="376" t="s">
        <v>3227</v>
      </c>
      <c r="O6" s="438">
        <f>'Sensitivity Analysis'!K32</f>
        <v>0</v>
      </c>
    </row>
    <row r="7" spans="1:15" ht="13.5" customHeight="1">
      <c r="K7" s="434" t="e">
        <f>D24</f>
        <v>#VALUE!</v>
      </c>
      <c r="O7" s="439"/>
    </row>
    <row r="8" spans="1:15" ht="13.5" customHeight="1">
      <c r="A8" s="377" t="s">
        <v>494</v>
      </c>
      <c r="C8" s="440">
        <v>1</v>
      </c>
      <c r="D8" s="440">
        <v>2</v>
      </c>
      <c r="E8" s="440">
        <v>3</v>
      </c>
      <c r="F8" s="440">
        <v>4</v>
      </c>
      <c r="G8" s="440">
        <v>5</v>
      </c>
      <c r="H8" s="440">
        <v>6</v>
      </c>
      <c r="I8" s="440">
        <v>7</v>
      </c>
      <c r="K8" s="434" t="e">
        <f>E24</f>
        <v>#VALUE!</v>
      </c>
      <c r="M8" s="376" t="s">
        <v>3228</v>
      </c>
      <c r="O8" s="739" t="e">
        <f>#REF!+#REF!+#REF!</f>
        <v>#REF!</v>
      </c>
    </row>
    <row r="9" spans="1:15" ht="13.5" customHeight="1">
      <c r="A9" s="376" t="s">
        <v>3229</v>
      </c>
      <c r="C9" s="441">
        <f>'Part VI-Pro Forma'!B33</f>
        <v>-0.29650856764055789</v>
      </c>
      <c r="D9" s="441">
        <f>'Part VI-Pro Forma'!C33</f>
        <v>0.20829143235459924</v>
      </c>
      <c r="E9" s="441">
        <f>'Part VI-Pro Forma'!D33</f>
        <v>0.17418743231246481</v>
      </c>
      <c r="F9" s="441">
        <f>'Part VI-Pro Forma'!E33</f>
        <v>-0.16966864769347012</v>
      </c>
      <c r="G9" s="441">
        <f>'Part VI-Pro Forma'!F33</f>
        <v>0.24885605085728457</v>
      </c>
      <c r="H9" s="441">
        <f>'Part VI-Pro Forma'!G33</f>
        <v>0.33928688029118348</v>
      </c>
      <c r="I9" s="441">
        <f>'Part VI-Pro Forma'!H33</f>
        <v>-0.15723196777980775</v>
      </c>
      <c r="K9" s="434" t="e">
        <f>F24</f>
        <v>#VALUE!</v>
      </c>
      <c r="N9" s="442" t="s">
        <v>3230</v>
      </c>
    </row>
    <row r="10" spans="1:15" ht="13.5" customHeight="1">
      <c r="A10" s="376" t="s">
        <v>3231</v>
      </c>
      <c r="C10" s="736">
        <f>'Part II-Sources of Funds'!I40-'Part VI-Pro Forma'!B40</f>
        <v>11944.940849013627</v>
      </c>
      <c r="D10" s="443">
        <f>'Part VI-Pro Forma'!B40-'Part VI-Pro Forma'!C40</f>
        <v>12808.441588811576</v>
      </c>
      <c r="E10" s="443">
        <f>'Part VI-Pro Forma'!C40-'Part VI-Pro Forma'!D40</f>
        <v>13734.364866909571</v>
      </c>
      <c r="F10" s="443">
        <f>'Part VI-Pro Forma'!D40-'Part VI-Pro Forma'!E40</f>
        <v>14727.223213647492</v>
      </c>
      <c r="G10" s="443">
        <f>'Part VI-Pro Forma'!E40-'Part VI-Pro Forma'!F40</f>
        <v>15791.855370549485</v>
      </c>
      <c r="H10" s="443">
        <f>'Part VI-Pro Forma'!F40-'Part VI-Pro Forma'!G40</f>
        <v>16933.449872156605</v>
      </c>
      <c r="I10" s="443">
        <f>'Part VI-Pro Forma'!G40-'Part VI-Pro Forma'!H40</f>
        <v>18157.570332590025</v>
      </c>
      <c r="K10" s="434" t="e">
        <f>G24</f>
        <v>#VALUE!</v>
      </c>
      <c r="N10" s="442" t="s">
        <v>3232</v>
      </c>
      <c r="O10" s="439"/>
    </row>
    <row r="11" spans="1:15" ht="13.5" customHeight="1">
      <c r="A11" s="376" t="s">
        <v>3231</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3231</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3233</v>
      </c>
      <c r="N12" s="444">
        <v>0.06</v>
      </c>
      <c r="O12" s="439">
        <f>N12*O6</f>
        <v>0</v>
      </c>
    </row>
    <row r="13" spans="1:15" ht="13.5" customHeight="1">
      <c r="A13" s="445" t="s">
        <v>3234</v>
      </c>
      <c r="B13" s="445"/>
      <c r="C13" s="737">
        <f>'Part VI-Pro Forma'!B23</f>
        <v>-18000</v>
      </c>
      <c r="D13" s="737">
        <f>'Part VI-Pro Forma'!C23</f>
        <v>-18540</v>
      </c>
      <c r="E13" s="737">
        <f>'Part VI-Pro Forma'!D23</f>
        <v>-19096.2</v>
      </c>
      <c r="F13" s="737">
        <f>'Part VI-Pro Forma'!E23</f>
        <v>-19669.085999999999</v>
      </c>
      <c r="G13" s="737">
        <f>'Part VI-Pro Forma'!F23</f>
        <v>-20259.158579999999</v>
      </c>
      <c r="H13" s="737">
        <f>'Part VI-Pro Forma'!G23</f>
        <v>-20866.933337399998</v>
      </c>
      <c r="I13" s="737">
        <f>'Part VI-Pro Forma'!H23</f>
        <v>-21492.941337521999</v>
      </c>
      <c r="K13" s="434" t="e">
        <f>C44</f>
        <v>#VALUE!</v>
      </c>
      <c r="O13" s="439"/>
    </row>
    <row r="14" spans="1:15" ht="13.5" customHeight="1">
      <c r="A14" s="445" t="s">
        <v>3235</v>
      </c>
      <c r="B14" s="445"/>
      <c r="C14" s="737">
        <f>'Part VI-Pro Forma'!B32</f>
        <v>-30340</v>
      </c>
      <c r="D14" s="737">
        <f>'Part VI-Pro Forma'!C32</f>
        <v>-31698</v>
      </c>
      <c r="E14" s="737">
        <f>'Part VI-Pro Forma'!D32</f>
        <v>-32992</v>
      </c>
      <c r="F14" s="737">
        <f>'Part VI-Pro Forma'!E32</f>
        <v>-34219</v>
      </c>
      <c r="G14" s="737">
        <f>'Part VI-Pro Forma'!F32</f>
        <v>-35374</v>
      </c>
      <c r="H14" s="737">
        <f>'Part VI-Pro Forma'!G32</f>
        <v>-36453</v>
      </c>
      <c r="I14" s="737">
        <f>'Part VI-Pro Forma'!H32</f>
        <v>-37452</v>
      </c>
      <c r="K14" s="434" t="e">
        <f>D44</f>
        <v>#VALUE!</v>
      </c>
      <c r="M14" s="376" t="s">
        <v>3236</v>
      </c>
      <c r="O14" s="439" t="e">
        <f>O6-O8-O12</f>
        <v>#REF!</v>
      </c>
    </row>
    <row r="15" spans="1:15" ht="13.5" customHeight="1">
      <c r="A15" s="376" t="s">
        <v>3237</v>
      </c>
      <c r="C15" s="446">
        <f t="shared" ref="C15:I15" si="0">$E$3/$H$3</f>
        <v>524497.78181818186</v>
      </c>
      <c r="D15" s="446">
        <f t="shared" si="0"/>
        <v>524497.78181818186</v>
      </c>
      <c r="E15" s="446">
        <f t="shared" si="0"/>
        <v>524497.78181818186</v>
      </c>
      <c r="F15" s="446">
        <f t="shared" si="0"/>
        <v>524497.78181818186</v>
      </c>
      <c r="G15" s="446">
        <f t="shared" si="0"/>
        <v>524497.78181818186</v>
      </c>
      <c r="H15" s="446">
        <f t="shared" si="0"/>
        <v>524497.78181818186</v>
      </c>
      <c r="I15" s="446">
        <f t="shared" si="0"/>
        <v>524497.78181818186</v>
      </c>
      <c r="K15" s="434" t="e">
        <f>E44</f>
        <v>#VALUE!</v>
      </c>
      <c r="O15" s="439"/>
    </row>
    <row r="16" spans="1:15" ht="13.5" customHeight="1">
      <c r="A16" s="376" t="s">
        <v>3238</v>
      </c>
      <c r="C16" s="446">
        <f>IF(C$8&lt;=$H$4,($E$4/$H$4),0)+IF(C$8&lt;=$H$5,($E$5/$H$5),0)</f>
        <v>15034.516666666666</v>
      </c>
      <c r="D16" s="446">
        <f t="shared" ref="D16:I16" si="1">IF(D$8&lt;=$H$4,($E$4/$H$4),0)+IF(D$8&lt;=$H$5,($E$5/$H$5),0)</f>
        <v>15034.516666666666</v>
      </c>
      <c r="E16" s="446">
        <f t="shared" si="1"/>
        <v>15034.516666666666</v>
      </c>
      <c r="F16" s="446">
        <f t="shared" si="1"/>
        <v>15034.516666666666</v>
      </c>
      <c r="G16" s="446">
        <f t="shared" si="1"/>
        <v>15034.516666666666</v>
      </c>
      <c r="H16" s="446">
        <f t="shared" si="1"/>
        <v>15034.516666666666</v>
      </c>
      <c r="I16" s="446">
        <f t="shared" si="1"/>
        <v>15034.516666666666</v>
      </c>
      <c r="K16" s="434" t="e">
        <f>F44</f>
        <v>#VALUE!</v>
      </c>
      <c r="M16" s="376" t="s">
        <v>3239</v>
      </c>
      <c r="O16" s="439">
        <f>E3</f>
        <v>14423689</v>
      </c>
    </row>
    <row r="17" spans="1:17" ht="13.5" customHeight="1">
      <c r="A17" s="376" t="s">
        <v>3240</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3237</v>
      </c>
      <c r="O17" s="439">
        <f>20*(E3/H3)</f>
        <v>10489955.636363637</v>
      </c>
    </row>
    <row r="18" spans="1:17" ht="13.5" customHeight="1">
      <c r="A18" s="376" t="s">
        <v>3241</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3242</v>
      </c>
      <c r="O19" s="439">
        <f>O16-O17</f>
        <v>3933733.3636363633</v>
      </c>
    </row>
    <row r="20" spans="1:17" ht="13.5" customHeight="1">
      <c r="A20" s="376" t="s">
        <v>3243</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3244</v>
      </c>
      <c r="C21" s="447">
        <f>'Part III-A-Uses of Funds'!$J$191</f>
        <v>1161542</v>
      </c>
      <c r="D21" s="447">
        <f t="shared" ref="D21:I21" si="5">C21</f>
        <v>1161542</v>
      </c>
      <c r="E21" s="447">
        <f t="shared" si="5"/>
        <v>1161542</v>
      </c>
      <c r="F21" s="447">
        <f t="shared" si="5"/>
        <v>1161542</v>
      </c>
      <c r="G21" s="447">
        <f t="shared" si="5"/>
        <v>1161542</v>
      </c>
      <c r="H21" s="447">
        <f t="shared" si="5"/>
        <v>1161542</v>
      </c>
      <c r="I21" s="447">
        <f t="shared" si="5"/>
        <v>1161542</v>
      </c>
      <c r="J21" s="376" t="s">
        <v>3016</v>
      </c>
      <c r="K21" s="434" t="e">
        <f>D64</f>
        <v>#VALUE!</v>
      </c>
      <c r="O21" s="439"/>
    </row>
    <row r="22" spans="1:17" ht="13.5" customHeight="1">
      <c r="A22" s="376" t="s">
        <v>3245</v>
      </c>
      <c r="C22" s="447">
        <f>C21</f>
        <v>1161542</v>
      </c>
      <c r="D22" s="447">
        <f t="shared" ref="D22:I22" si="6">D21</f>
        <v>1161542</v>
      </c>
      <c r="E22" s="447">
        <f t="shared" si="6"/>
        <v>1161542</v>
      </c>
      <c r="F22" s="447">
        <f t="shared" si="6"/>
        <v>1161542</v>
      </c>
      <c r="G22" s="447">
        <f t="shared" si="6"/>
        <v>1161542</v>
      </c>
      <c r="H22" s="447">
        <f t="shared" si="6"/>
        <v>1161542</v>
      </c>
      <c r="I22" s="447">
        <f t="shared" si="6"/>
        <v>1161542</v>
      </c>
      <c r="K22" s="434" t="e">
        <f>E64</f>
        <v>#VALUE!</v>
      </c>
      <c r="M22" s="376" t="s">
        <v>3227</v>
      </c>
      <c r="O22" s="439">
        <f>O6</f>
        <v>0</v>
      </c>
    </row>
    <row r="23" spans="1:17" ht="13.5" customHeight="1">
      <c r="A23" s="376" t="s">
        <v>3246</v>
      </c>
      <c r="C23" s="441">
        <v>0</v>
      </c>
      <c r="D23" s="441">
        <v>0</v>
      </c>
      <c r="E23" s="441">
        <v>0</v>
      </c>
      <c r="F23" s="441">
        <v>0</v>
      </c>
      <c r="G23" s="441">
        <v>0</v>
      </c>
      <c r="H23" s="441">
        <v>0</v>
      </c>
      <c r="I23" s="441">
        <v>0</v>
      </c>
      <c r="K23" s="434" t="e">
        <f>F64</f>
        <v>#VALUE!</v>
      </c>
      <c r="M23" s="376" t="s">
        <v>3247</v>
      </c>
      <c r="O23" s="439">
        <f>O19</f>
        <v>3933733.3636363633</v>
      </c>
    </row>
    <row r="24" spans="1:17" ht="13.5" customHeight="1">
      <c r="A24" s="376" t="s">
        <v>3219</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3248</v>
      </c>
      <c r="O25" s="439">
        <f>O22-O23</f>
        <v>-3933733.3636363633</v>
      </c>
      <c r="Q25" s="448"/>
    </row>
    <row r="26" spans="1:17" ht="13.5" customHeight="1">
      <c r="A26" s="449"/>
      <c r="B26" s="449"/>
      <c r="C26" s="449"/>
      <c r="D26" s="449"/>
      <c r="E26" s="449"/>
      <c r="F26" s="449"/>
      <c r="G26" s="449"/>
      <c r="H26" s="449"/>
      <c r="I26" s="449"/>
      <c r="K26" s="434"/>
      <c r="O26" s="439"/>
    </row>
    <row r="27" spans="1:17" ht="13.5" customHeight="1">
      <c r="K27" s="434"/>
      <c r="M27" s="376" t="s">
        <v>3249</v>
      </c>
      <c r="N27" s="450"/>
      <c r="O27" s="444">
        <v>0.2</v>
      </c>
    </row>
    <row r="28" spans="1:17" ht="13.5" customHeight="1">
      <c r="A28" s="377" t="s">
        <v>494</v>
      </c>
      <c r="B28" s="377"/>
      <c r="C28" s="440">
        <v>8</v>
      </c>
      <c r="D28" s="440">
        <v>9</v>
      </c>
      <c r="E28" s="440">
        <v>10</v>
      </c>
      <c r="F28" s="440">
        <v>11</v>
      </c>
      <c r="G28" s="440">
        <v>12</v>
      </c>
      <c r="H28" s="440">
        <v>13</v>
      </c>
      <c r="I28" s="440">
        <v>14</v>
      </c>
      <c r="N28" s="450"/>
      <c r="O28" s="450"/>
    </row>
    <row r="29" spans="1:17" ht="13.5" customHeight="1">
      <c r="A29" s="376" t="s">
        <v>3229</v>
      </c>
      <c r="C29" s="441">
        <f>'Part VI-Pro Forma'!I33</f>
        <v>0.3260977645550156</v>
      </c>
      <c r="D29" s="441">
        <f>'Part VI-Pro Forma'!J33</f>
        <v>0.17556641765986569</v>
      </c>
      <c r="E29" s="441">
        <f>'Part VI-Pro Forma'!K33</f>
        <v>16535.590590939537</v>
      </c>
      <c r="F29" s="441">
        <f>'Part VI-Pro Forma'!B65</f>
        <v>40546.577139442641</v>
      </c>
      <c r="G29" s="441">
        <f>'Part VI-Pro Forma'!C65</f>
        <v>41068.940939110958</v>
      </c>
      <c r="H29" s="441">
        <f>'Part VI-Pro Forma'!D65</f>
        <v>41480.280460574213</v>
      </c>
      <c r="I29" s="441">
        <f>'Part VI-Pro Forma'!E65</f>
        <v>41773.979671641791</v>
      </c>
      <c r="N29" s="450"/>
      <c r="O29" s="450"/>
    </row>
    <row r="30" spans="1:17" ht="13.5" customHeight="1">
      <c r="A30" s="376" t="s">
        <v>3231</v>
      </c>
      <c r="C30" s="443">
        <f>'Part VI-Pro Forma'!H40-'Part VI-Pro Forma'!I40</f>
        <v>19470.182560085785</v>
      </c>
      <c r="D30" s="443">
        <f>'Part VI-Pro Forma'!I40-'Part VI-Pro Forma'!J40</f>
        <v>20877.683631639928</v>
      </c>
      <c r="E30" s="443">
        <f>'Part VI-Pro Forma'!J40-'Part VI-Pro Forma'!K40</f>
        <v>22386.933069461957</v>
      </c>
      <c r="F30" s="734">
        <f>'Part VI-Pro Forma'!K40-'Part VI-Pro Forma'!B72</f>
        <v>24005.286271176767</v>
      </c>
      <c r="G30" s="734">
        <f>'Part VI-Pro Forma'!B72-'Part VI-Pro Forma'!C72</f>
        <v>25740.6303566969</v>
      </c>
      <c r="H30" s="734">
        <f>'Part VI-Pro Forma'!C72-'Part VI-Pro Forma'!D72</f>
        <v>27601.422606473323</v>
      </c>
      <c r="I30" s="734">
        <f>'Part VI-Pro Forma'!D72-'Part VI-Pro Forma'!E72</f>
        <v>29596.731678442098</v>
      </c>
    </row>
    <row r="31" spans="1:17" ht="13.5" customHeight="1">
      <c r="A31" s="376" t="s">
        <v>3231</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3016</v>
      </c>
      <c r="M31" s="376" t="s">
        <v>3250</v>
      </c>
      <c r="O31" s="441">
        <f>O25*O27</f>
        <v>-786746.67272727273</v>
      </c>
    </row>
    <row r="32" spans="1:17" ht="13.5" customHeight="1">
      <c r="A32" s="376" t="s">
        <v>3231</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3234</v>
      </c>
      <c r="B33" s="445"/>
      <c r="C33" s="737">
        <f>'Part VI-Pro Forma'!I23</f>
        <v>-22137.72957764766</v>
      </c>
      <c r="D33" s="737">
        <f>'Part VI-Pro Forma'!J23</f>
        <v>-22801.861464977086</v>
      </c>
      <c r="E33" s="737">
        <f>'Part VI-Pro Forma'!K23</f>
        <v>-23485.9173089264</v>
      </c>
      <c r="F33" s="737">
        <f>'Part VI-Pro Forma'!B55</f>
        <v>-24190.494828194191</v>
      </c>
      <c r="G33" s="737">
        <f>'Part VI-Pro Forma'!C55</f>
        <v>-24916.209673040019</v>
      </c>
      <c r="H33" s="737">
        <f>'Part VI-Pro Forma'!D55</f>
        <v>-25663.695963231214</v>
      </c>
      <c r="I33" s="737">
        <f>'Part VI-Pro Forma'!E55</f>
        <v>-26433.606842128149</v>
      </c>
      <c r="K33" s="376" t="s">
        <v>3016</v>
      </c>
      <c r="M33" s="376" t="s">
        <v>3251</v>
      </c>
      <c r="O33" s="441" t="e">
        <f>O14-O31</f>
        <v>#REF!</v>
      </c>
    </row>
    <row r="34" spans="1:15" ht="13.5" customHeight="1">
      <c r="A34" s="445" t="s">
        <v>3235</v>
      </c>
      <c r="B34" s="445"/>
      <c r="C34" s="737">
        <f>'Part VI-Pro Forma'!I32</f>
        <v>-38366</v>
      </c>
      <c r="D34" s="737">
        <f>'Part VI-Pro Forma'!J32</f>
        <v>-39189</v>
      </c>
      <c r="E34" s="737">
        <f>'Part VI-Pro Forma'!K32</f>
        <v>-23382</v>
      </c>
      <c r="F34" s="737">
        <f>'Part VI-Pro Forma'!B64</f>
        <v>0</v>
      </c>
      <c r="G34" s="737">
        <f>'Part VI-Pro Forma'!C64</f>
        <v>0</v>
      </c>
      <c r="H34" s="737">
        <f>'Part VI-Pro Forma'!D64</f>
        <v>0</v>
      </c>
      <c r="I34" s="737">
        <f>'Part VI-Pro Forma'!E64</f>
        <v>0</v>
      </c>
    </row>
    <row r="35" spans="1:15" ht="13.5" customHeight="1">
      <c r="A35" s="376" t="s">
        <v>3237</v>
      </c>
      <c r="C35" s="446">
        <f t="shared" ref="C35:I35" si="8">$E$3/$H$3</f>
        <v>524497.78181818186</v>
      </c>
      <c r="D35" s="446">
        <f t="shared" si="8"/>
        <v>524497.78181818186</v>
      </c>
      <c r="E35" s="446">
        <f t="shared" si="8"/>
        <v>524497.78181818186</v>
      </c>
      <c r="F35" s="446">
        <f t="shared" si="8"/>
        <v>524497.78181818186</v>
      </c>
      <c r="G35" s="446">
        <f t="shared" si="8"/>
        <v>524497.78181818186</v>
      </c>
      <c r="H35" s="446">
        <f t="shared" si="8"/>
        <v>524497.78181818186</v>
      </c>
      <c r="I35" s="446">
        <f t="shared" si="8"/>
        <v>524497.78181818186</v>
      </c>
    </row>
    <row r="36" spans="1:15" ht="13.5" customHeight="1">
      <c r="A36" s="376" t="s">
        <v>3238</v>
      </c>
      <c r="C36" s="441">
        <f>IF(C$28&lt;=$H$4,($E$4/$H$4),0)+IF(C$28&lt;=$H$5,($E$5/$H$5),0)</f>
        <v>15034.516666666666</v>
      </c>
      <c r="D36" s="441">
        <f t="shared" ref="D36:I36" si="9">IF(D$28&lt;=$H$4,($E$4/$H$4),0)+IF(D$28&lt;=$H$5,($E$5/$H$5),0)</f>
        <v>15034.516666666666</v>
      </c>
      <c r="E36" s="441">
        <f t="shared" si="9"/>
        <v>15034.516666666666</v>
      </c>
      <c r="F36" s="441">
        <f t="shared" si="9"/>
        <v>15034.516666666666</v>
      </c>
      <c r="G36" s="441">
        <f t="shared" si="9"/>
        <v>15034.516666666666</v>
      </c>
      <c r="H36" s="441">
        <f t="shared" si="9"/>
        <v>15034.516666666666</v>
      </c>
      <c r="I36" s="441">
        <f t="shared" si="9"/>
        <v>15034.516666666666</v>
      </c>
    </row>
    <row r="37" spans="1:15" ht="13.5" customHeight="1">
      <c r="A37" s="376" t="s">
        <v>3240</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3241</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3243</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3244</v>
      </c>
      <c r="C41" s="447">
        <f>C21</f>
        <v>1161542</v>
      </c>
      <c r="D41" s="447">
        <f>C41</f>
        <v>1161542</v>
      </c>
      <c r="E41" s="447">
        <f>D41</f>
        <v>1161542</v>
      </c>
      <c r="F41" s="447">
        <v>0</v>
      </c>
      <c r="G41" s="447">
        <v>0</v>
      </c>
      <c r="H41" s="447">
        <v>0</v>
      </c>
      <c r="I41" s="447">
        <v>0</v>
      </c>
    </row>
    <row r="42" spans="1:15" ht="13.5" customHeight="1">
      <c r="A42" s="376" t="s">
        <v>3245</v>
      </c>
      <c r="C42" s="447">
        <f>C22</f>
        <v>1161542</v>
      </c>
      <c r="D42" s="447">
        <f>C42</f>
        <v>1161542</v>
      </c>
      <c r="E42" s="447">
        <f>D42</f>
        <v>1161542</v>
      </c>
      <c r="F42" s="447">
        <v>0</v>
      </c>
      <c r="G42" s="447">
        <v>0</v>
      </c>
      <c r="H42" s="447">
        <v>0</v>
      </c>
      <c r="I42" s="447">
        <v>0</v>
      </c>
    </row>
    <row r="43" spans="1:15" ht="13.5" customHeight="1">
      <c r="A43" s="376" t="s">
        <v>3246</v>
      </c>
      <c r="C43" s="443">
        <v>0</v>
      </c>
      <c r="D43" s="443">
        <v>0</v>
      </c>
      <c r="E43" s="443">
        <v>0</v>
      </c>
      <c r="F43" s="443">
        <v>0</v>
      </c>
      <c r="G43" s="443">
        <v>0</v>
      </c>
      <c r="H43" s="443">
        <v>0</v>
      </c>
      <c r="I43" s="443">
        <v>0</v>
      </c>
    </row>
    <row r="44" spans="1:15" ht="13.5" customHeight="1">
      <c r="A44" s="376" t="s">
        <v>3219</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494</v>
      </c>
      <c r="B48" s="377"/>
      <c r="C48" s="440">
        <v>15</v>
      </c>
      <c r="D48" s="377">
        <v>16</v>
      </c>
      <c r="E48" s="377">
        <v>17</v>
      </c>
      <c r="F48" s="377">
        <v>18</v>
      </c>
      <c r="G48" s="377">
        <v>19</v>
      </c>
      <c r="H48" s="377">
        <v>20</v>
      </c>
    </row>
    <row r="49" spans="1:10" ht="13.5" customHeight="1">
      <c r="A49" s="376" t="s">
        <v>3229</v>
      </c>
      <c r="C49" s="441">
        <f>'Part VI-Pro Forma'!F65</f>
        <v>41944.200553081464</v>
      </c>
      <c r="D49" s="441">
        <f>'Part VI-Pro Forma'!G62</f>
        <v>0</v>
      </c>
      <c r="E49" s="441">
        <f>'Part VI-Pro Forma'!H62</f>
        <v>0</v>
      </c>
      <c r="F49" s="441">
        <f>'Part VI-Pro Forma'!I62</f>
        <v>0</v>
      </c>
      <c r="G49" s="441">
        <f>'Part VI-Pro Forma'!J62</f>
        <v>0</v>
      </c>
      <c r="H49" s="441">
        <f>'Part VI-Pro Forma'!K62</f>
        <v>0</v>
      </c>
    </row>
    <row r="50" spans="1:10" ht="13.5" customHeight="1">
      <c r="A50" s="376" t="s">
        <v>3231</v>
      </c>
      <c r="C50" s="735">
        <f>'Part VI-Pro Forma'!E72-'Part VI-Pro Forma'!F72</f>
        <v>31736.281804556958</v>
      </c>
      <c r="D50" s="735">
        <f>'Part VI-Pro Forma'!F72-'Part VI-Pro Forma'!G72</f>
        <v>34030.500182284974</v>
      </c>
      <c r="E50" s="735">
        <f>'Part VI-Pro Forma'!G72-'Part VI-Pro Forma'!H72</f>
        <v>36490.567792040296</v>
      </c>
      <c r="F50" s="735">
        <f>'Part VI-Pro Forma'!H72-'Part VI-Pro Forma'!I72</f>
        <v>39128.473888217006</v>
      </c>
      <c r="G50" s="735">
        <f>'Part VI-Pro Forma'!I72-'Part VI-Pro Forma'!J72</f>
        <v>41957.074429377448</v>
      </c>
      <c r="H50" s="735">
        <f>'Part VI-Pro Forma'!J72-'Part VI-Pro Forma'!K72</f>
        <v>44990.154732367955</v>
      </c>
    </row>
    <row r="51" spans="1:10" ht="13.5" customHeight="1">
      <c r="A51" s="376" t="s">
        <v>3231</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3231</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3234</v>
      </c>
      <c r="B53" s="445"/>
      <c r="C53" s="737">
        <f>'Part VI-Pro Forma'!F55</f>
        <v>-27226.615047391999</v>
      </c>
      <c r="D53" s="737">
        <f>'Part VI-Pro Forma'!G55</f>
        <v>-28043.413498813759</v>
      </c>
      <c r="E53" s="737">
        <f>'Part VI-Pro Forma'!H55</f>
        <v>-28884.715903778168</v>
      </c>
      <c r="F53" s="737">
        <f>'Part VI-Pro Forma'!I55</f>
        <v>-29751.257380891511</v>
      </c>
      <c r="G53" s="737">
        <f>'Part VI-Pro Forma'!J55</f>
        <v>-30643.795102318258</v>
      </c>
      <c r="H53" s="737">
        <f>'Part VI-Pro Forma'!K55</f>
        <v>-31563.108955387805</v>
      </c>
    </row>
    <row r="54" spans="1:10" ht="13.5" customHeight="1">
      <c r="A54" s="445" t="s">
        <v>3235</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3237</v>
      </c>
      <c r="C55" s="446">
        <f t="shared" ref="C55:H55" si="14">$E$3/$H$3</f>
        <v>524497.78181818186</v>
      </c>
      <c r="D55" s="446">
        <f t="shared" si="14"/>
        <v>524497.78181818186</v>
      </c>
      <c r="E55" s="446">
        <f t="shared" si="14"/>
        <v>524497.78181818186</v>
      </c>
      <c r="F55" s="446">
        <f t="shared" si="14"/>
        <v>524497.78181818186</v>
      </c>
      <c r="G55" s="446">
        <f t="shared" si="14"/>
        <v>524497.78181818186</v>
      </c>
      <c r="H55" s="446">
        <f t="shared" si="14"/>
        <v>524497.78181818186</v>
      </c>
    </row>
    <row r="56" spans="1:10" ht="13.5" customHeight="1">
      <c r="A56" s="376" t="s">
        <v>3238</v>
      </c>
      <c r="C56" s="441">
        <f t="shared" ref="C56:H56" si="15">IF(C$48&lt;=$H$4,($E$4/$H$4),0)+IF(C$48&lt;=$H$5,($E$5/$H$5),0)</f>
        <v>15034.516666666666</v>
      </c>
      <c r="D56" s="441">
        <f t="shared" si="15"/>
        <v>4206.25</v>
      </c>
      <c r="E56" s="441">
        <f t="shared" si="15"/>
        <v>4206.25</v>
      </c>
      <c r="F56" s="441">
        <f t="shared" si="15"/>
        <v>4206.25</v>
      </c>
      <c r="G56" s="441">
        <f t="shared" si="15"/>
        <v>4206.25</v>
      </c>
      <c r="H56" s="441">
        <f t="shared" si="15"/>
        <v>4206.25</v>
      </c>
    </row>
    <row r="57" spans="1:10" ht="13.5" customHeight="1">
      <c r="A57" s="376" t="s">
        <v>3240</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3241</v>
      </c>
      <c r="C58" s="446" t="e">
        <f t="shared" ref="C58:H58" si="17">C57*$H$6</f>
        <v>#VALUE!</v>
      </c>
      <c r="D58" s="446" t="e">
        <f t="shared" si="17"/>
        <v>#VALUE!</v>
      </c>
      <c r="E58" s="446" t="e">
        <f t="shared" si="17"/>
        <v>#VALUE!</v>
      </c>
      <c r="F58" s="446" t="e">
        <f t="shared" si="17"/>
        <v>#VALUE!</v>
      </c>
      <c r="G58" s="446" t="e">
        <f t="shared" si="17"/>
        <v>#VALUE!</v>
      </c>
      <c r="H58" s="446" t="e">
        <f t="shared" si="17"/>
        <v>#VALUE!</v>
      </c>
      <c r="J58" s="376" t="s">
        <v>3016</v>
      </c>
    </row>
    <row r="59" spans="1:10" s="452" customFormat="1" ht="16.5" customHeight="1">
      <c r="A59" s="376"/>
      <c r="B59" s="376"/>
      <c r="C59" s="441"/>
      <c r="D59" s="441"/>
      <c r="E59" s="441"/>
      <c r="F59" s="441"/>
      <c r="G59" s="441"/>
      <c r="H59" s="441"/>
      <c r="I59" s="376"/>
      <c r="J59" s="376"/>
    </row>
    <row r="60" spans="1:10">
      <c r="A60" s="376" t="s">
        <v>3243</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3244</v>
      </c>
      <c r="C61" s="446">
        <v>0</v>
      </c>
      <c r="D61" s="446">
        <v>0</v>
      </c>
      <c r="E61" s="446">
        <v>0</v>
      </c>
      <c r="F61" s="446">
        <v>0</v>
      </c>
      <c r="G61" s="446">
        <v>0</v>
      </c>
      <c r="H61" s="441">
        <v>0</v>
      </c>
    </row>
    <row r="62" spans="1:10">
      <c r="A62" s="376" t="s">
        <v>3245</v>
      </c>
      <c r="C62" s="446">
        <v>0</v>
      </c>
      <c r="D62" s="441">
        <v>0</v>
      </c>
      <c r="E62" s="441">
        <v>0</v>
      </c>
      <c r="F62" s="441">
        <v>0</v>
      </c>
      <c r="G62" s="441">
        <v>0</v>
      </c>
      <c r="H62" s="441">
        <v>0</v>
      </c>
    </row>
    <row r="63" spans="1:10">
      <c r="A63" s="376" t="s">
        <v>3246</v>
      </c>
      <c r="C63" s="441">
        <v>0</v>
      </c>
      <c r="D63" s="441">
        <v>0</v>
      </c>
      <c r="E63" s="441">
        <v>0</v>
      </c>
      <c r="F63" s="441">
        <v>0</v>
      </c>
      <c r="G63" s="441">
        <v>0</v>
      </c>
      <c r="H63" s="441" t="e">
        <f>O33</f>
        <v>#REF!</v>
      </c>
    </row>
    <row r="64" spans="1:10">
      <c r="A64" s="376" t="s">
        <v>3219</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3252</v>
      </c>
      <c r="G66" s="4121" t="e">
        <f>IRR(K5:K25)</f>
        <v>#VALUE!</v>
      </c>
      <c r="H66" s="4122"/>
      <c r="I66" s="452"/>
      <c r="J66" s="452"/>
    </row>
    <row r="548" ht="13.5" customHeight="1"/>
    <row r="549" ht="13.5" customHeight="1"/>
    <row r="631" ht="13.5" customHeight="1"/>
    <row r="638" ht="13.5" customHeight="1"/>
    <row r="667" ht="14.85" customHeight="1"/>
    <row r="1191" ht="13.5" customHeight="1"/>
    <row r="1249" ht="11.25" customHeight="1"/>
    <row r="1250" ht="11.25" customHeight="1"/>
    <row r="1251" ht="11.25" customHeight="1"/>
    <row r="1252" ht="11.25" customHeight="1"/>
    <row r="1435" ht="13.5" customHeight="1"/>
    <row r="1436" ht="13.5" customHeight="1"/>
    <row r="1490" ht="13.5" customHeight="1"/>
    <row r="1491" ht="13.5" customHeight="1"/>
    <row r="1492" ht="13.5" customHeight="1"/>
    <row r="1528" ht="13.5" customHeight="1"/>
    <row r="1529" ht="13.5" customHeight="1"/>
    <row r="1530" ht="1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9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850000000000001" customHeight="1">
      <c r="A1" s="4124" t="str">
        <f>'Sensitivity Analysis'!C8</f>
        <v>Abbington Blue Ridge</v>
      </c>
      <c r="B1" s="4124"/>
      <c r="C1" s="4124"/>
      <c r="D1" s="4124"/>
      <c r="E1" s="4124"/>
      <c r="F1" s="4124"/>
      <c r="G1" s="4124"/>
      <c r="H1" s="4124"/>
      <c r="I1" s="4124"/>
      <c r="J1" s="4124"/>
      <c r="K1" s="4124"/>
    </row>
    <row r="2" spans="1:11" s="321" customFormat="1" ht="17.850000000000001" customHeight="1">
      <c r="A2" s="4123" t="s">
        <v>3253</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75" customHeight="1">
      <c r="A4" s="4125" t="s">
        <v>3254</v>
      </c>
      <c r="B4" s="4125"/>
      <c r="C4" s="1081"/>
      <c r="D4" s="4125" t="s">
        <v>3255</v>
      </c>
      <c r="E4" s="4125"/>
      <c r="F4" s="382"/>
      <c r="G4" s="4125" t="s">
        <v>3256</v>
      </c>
      <c r="H4" s="4125"/>
      <c r="I4" s="382"/>
      <c r="J4" s="4125" t="s">
        <v>3257</v>
      </c>
      <c r="K4" s="4125"/>
    </row>
    <row r="5" spans="1:11" ht="26.1" customHeight="1">
      <c r="A5" s="4126" t="str">
        <f>'Part II-Sources of Funds'!E40</f>
        <v>Churchill Stateside Group, LLC</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95">
      <c r="A7" s="2610"/>
      <c r="B7" s="2610" t="s">
        <v>3258</v>
      </c>
      <c r="D7" s="2610"/>
      <c r="E7" s="2610" t="s">
        <v>3258</v>
      </c>
      <c r="G7" s="2610"/>
      <c r="H7" s="2610" t="s">
        <v>3258</v>
      </c>
      <c r="J7" s="2610"/>
      <c r="K7" s="2610" t="s">
        <v>3258</v>
      </c>
    </row>
    <row r="8" spans="1:11" ht="15.95">
      <c r="A8" s="760" t="s">
        <v>494</v>
      </c>
      <c r="B8" s="760" t="s">
        <v>3259</v>
      </c>
      <c r="D8" s="760" t="s">
        <v>494</v>
      </c>
      <c r="E8" s="760" t="s">
        <v>3259</v>
      </c>
      <c r="G8" s="760" t="s">
        <v>494</v>
      </c>
      <c r="H8" s="760" t="s">
        <v>3259</v>
      </c>
      <c r="J8" s="760" t="s">
        <v>494</v>
      </c>
      <c r="K8" s="760" t="s">
        <v>3259</v>
      </c>
    </row>
    <row r="9" spans="1:11" ht="6" customHeight="1">
      <c r="A9" s="2612"/>
      <c r="B9" s="2612"/>
      <c r="D9" s="2612"/>
      <c r="E9" s="2612"/>
      <c r="G9" s="2612"/>
      <c r="H9" s="2612"/>
      <c r="J9" s="2612"/>
      <c r="K9" s="2612"/>
    </row>
    <row r="10" spans="1:11" ht="20.25" customHeight="1">
      <c r="A10" s="2606">
        <v>1</v>
      </c>
      <c r="B10" s="740">
        <f>-'Part VI-Pro Forma'!$B26/12</f>
        <v>15722.211375713969</v>
      </c>
      <c r="D10" s="2606">
        <v>1</v>
      </c>
      <c r="E10" s="740">
        <f>-'Part VI-Pro Forma'!$B27/12</f>
        <v>0</v>
      </c>
      <c r="G10" s="2606">
        <v>1</v>
      </c>
      <c r="H10" s="740">
        <f>-'Part VI-Pro Forma'!$B28/12</f>
        <v>0</v>
      </c>
      <c r="J10" s="2606">
        <v>1</v>
      </c>
      <c r="K10" s="740">
        <f>-'Part VI-Pro Forma'!$B29/12</f>
        <v>0</v>
      </c>
    </row>
    <row r="11" spans="1:11" ht="20.25" customHeight="1">
      <c r="A11" s="2606">
        <v>2</v>
      </c>
      <c r="B11" s="740">
        <f>-'Part VI-Pro Forma'!$C26/12</f>
        <v>15722.211375713969</v>
      </c>
      <c r="D11" s="2606">
        <v>2</v>
      </c>
      <c r="E11" s="740">
        <f>-'Part VI-Pro Forma'!$C27/12</f>
        <v>0</v>
      </c>
      <c r="G11" s="2606">
        <v>2</v>
      </c>
      <c r="H11" s="740">
        <f>-'Part VI-Pro Forma'!$C28/12</f>
        <v>0</v>
      </c>
      <c r="J11" s="2606">
        <v>2</v>
      </c>
      <c r="K11" s="740">
        <f>-'Part VI-Pro Forma'!$C29/12</f>
        <v>0</v>
      </c>
    </row>
    <row r="12" spans="1:11" ht="20.25" customHeight="1">
      <c r="A12" s="2606">
        <v>3</v>
      </c>
      <c r="B12" s="740">
        <f>-'Part VI-Pro Forma'!$D26/12</f>
        <v>15722.211375713969</v>
      </c>
      <c r="D12" s="2606">
        <v>3</v>
      </c>
      <c r="E12" s="740">
        <f>-'Part VI-Pro Forma'!$D27/12</f>
        <v>0</v>
      </c>
      <c r="G12" s="2606">
        <v>3</v>
      </c>
      <c r="H12" s="740">
        <f>-'Part VI-Pro Forma'!$D28/12</f>
        <v>0</v>
      </c>
      <c r="J12" s="2606">
        <v>3</v>
      </c>
      <c r="K12" s="740">
        <f>-'Part VI-Pro Forma'!$D29/12</f>
        <v>0</v>
      </c>
    </row>
    <row r="13" spans="1:11" ht="20.25" customHeight="1">
      <c r="A13" s="2606">
        <v>4</v>
      </c>
      <c r="B13" s="740">
        <f>-'Part VI-Pro Forma'!$E26/12</f>
        <v>15722.211375713969</v>
      </c>
      <c r="D13" s="2606">
        <v>4</v>
      </c>
      <c r="E13" s="740">
        <f>-'Part VI-Pro Forma'!$E27/12</f>
        <v>0</v>
      </c>
      <c r="G13" s="2606">
        <v>4</v>
      </c>
      <c r="H13" s="740">
        <f>-'Part VI-Pro Forma'!$E28/12</f>
        <v>0</v>
      </c>
      <c r="J13" s="2606">
        <v>4</v>
      </c>
      <c r="K13" s="740">
        <f>-'Part VI-Pro Forma'!$E29/12</f>
        <v>0</v>
      </c>
    </row>
    <row r="14" spans="1:11" ht="20.25" customHeight="1">
      <c r="A14" s="1083">
        <v>5</v>
      </c>
      <c r="B14" s="1084">
        <f>-'Part VI-Pro Forma'!$F26/12</f>
        <v>15722.211375713969</v>
      </c>
      <c r="D14" s="1083">
        <v>5</v>
      </c>
      <c r="E14" s="1084">
        <f>-'Part VI-Pro Forma'!$F27/12</f>
        <v>0</v>
      </c>
      <c r="G14" s="1083">
        <v>5</v>
      </c>
      <c r="H14" s="1084">
        <f>-'Part VI-Pro Forma'!$F28/12</f>
        <v>0</v>
      </c>
      <c r="J14" s="1083">
        <v>5</v>
      </c>
      <c r="K14" s="1084">
        <f>-'Part VI-Pro Forma'!$F29/12</f>
        <v>0</v>
      </c>
    </row>
    <row r="15" spans="1:11" ht="20.25" customHeight="1">
      <c r="A15" s="2606">
        <v>6</v>
      </c>
      <c r="B15" s="740">
        <f>-'Part VI-Pro Forma'!$G26/12</f>
        <v>15722.211375713969</v>
      </c>
      <c r="D15" s="2606">
        <v>6</v>
      </c>
      <c r="E15" s="740">
        <f>-'Part VI-Pro Forma'!$G27/12</f>
        <v>0</v>
      </c>
      <c r="G15" s="2606">
        <v>6</v>
      </c>
      <c r="H15" s="740">
        <f>-'Part VI-Pro Forma'!$G28/12</f>
        <v>0</v>
      </c>
      <c r="J15" s="2606">
        <v>6</v>
      </c>
      <c r="K15" s="740">
        <f>-'Part VI-Pro Forma'!$G29/12</f>
        <v>0</v>
      </c>
    </row>
    <row r="16" spans="1:11" ht="20.25" customHeight="1">
      <c r="A16" s="2606">
        <v>7</v>
      </c>
      <c r="B16" s="740">
        <f>-'Part VI-Pro Forma'!$H26/12</f>
        <v>15722.211375713969</v>
      </c>
      <c r="D16" s="2606">
        <v>7</v>
      </c>
      <c r="E16" s="740">
        <f>-'Part VI-Pro Forma'!$H27/12</f>
        <v>0</v>
      </c>
      <c r="G16" s="2606">
        <v>7</v>
      </c>
      <c r="H16" s="740">
        <f>-'Part VI-Pro Forma'!$H28/12</f>
        <v>0</v>
      </c>
      <c r="J16" s="2606">
        <v>7</v>
      </c>
      <c r="K16" s="740">
        <f>-'Part VI-Pro Forma'!$H29/12</f>
        <v>0</v>
      </c>
    </row>
    <row r="17" spans="1:11" ht="20.25" customHeight="1">
      <c r="A17" s="2606">
        <v>8</v>
      </c>
      <c r="B17" s="740">
        <f>-'Part VI-Pro Forma'!$I26/12</f>
        <v>15722.211375713969</v>
      </c>
      <c r="D17" s="2606">
        <v>8</v>
      </c>
      <c r="E17" s="740">
        <f>-'Part VI-Pro Forma'!$I27/12</f>
        <v>0</v>
      </c>
      <c r="G17" s="2606">
        <v>8</v>
      </c>
      <c r="H17" s="740">
        <f>-'Part VI-Pro Forma'!$I28/12</f>
        <v>0</v>
      </c>
      <c r="J17" s="2606">
        <v>8</v>
      </c>
      <c r="K17" s="740">
        <f>-'Part VI-Pro Forma'!$I29/12</f>
        <v>0</v>
      </c>
    </row>
    <row r="18" spans="1:11" ht="20.25" customHeight="1">
      <c r="A18" s="2606">
        <v>9</v>
      </c>
      <c r="B18" s="740">
        <f>-'Part VI-Pro Forma'!$J26/12</f>
        <v>15722.211375713969</v>
      </c>
      <c r="D18" s="2606">
        <v>9</v>
      </c>
      <c r="E18" s="740">
        <f>-'Part VI-Pro Forma'!$J27/12</f>
        <v>0</v>
      </c>
      <c r="G18" s="2606">
        <v>9</v>
      </c>
      <c r="H18" s="740">
        <f>-'Part VI-Pro Forma'!$J28/12</f>
        <v>0</v>
      </c>
      <c r="J18" s="2606">
        <v>9</v>
      </c>
      <c r="K18" s="740">
        <f>-'Part VI-Pro Forma'!$J29/12</f>
        <v>0</v>
      </c>
    </row>
    <row r="19" spans="1:11" ht="20.25" customHeight="1">
      <c r="A19" s="1083">
        <v>10</v>
      </c>
      <c r="B19" s="1084">
        <f>-'Part VI-Pro Forma'!$K26/12</f>
        <v>15722.211375713969</v>
      </c>
      <c r="D19" s="1083">
        <v>10</v>
      </c>
      <c r="E19" s="1084">
        <f>-'Part VI-Pro Forma'!$K27/12</f>
        <v>0</v>
      </c>
      <c r="G19" s="1083">
        <v>10</v>
      </c>
      <c r="H19" s="1084">
        <f>-'Part VI-Pro Forma'!$K28/12</f>
        <v>0</v>
      </c>
      <c r="J19" s="1083">
        <v>10</v>
      </c>
      <c r="K19" s="1084">
        <f>-'Part VI-Pro Forma'!$K29/12</f>
        <v>0</v>
      </c>
    </row>
    <row r="20" spans="1:11" ht="20.25" customHeight="1">
      <c r="A20" s="2606">
        <v>11</v>
      </c>
      <c r="B20" s="740">
        <f>-'Part VI-Pro Forma'!$B58/12</f>
        <v>15722.211375713969</v>
      </c>
      <c r="D20" s="2606">
        <v>11</v>
      </c>
      <c r="E20" s="740">
        <f>-'Part VI-Pro Forma'!$B59/12</f>
        <v>0</v>
      </c>
      <c r="G20" s="2606">
        <v>11</v>
      </c>
      <c r="H20" s="740">
        <f>-'Part VI-Pro Forma'!$B60/12</f>
        <v>0</v>
      </c>
      <c r="J20" s="2606">
        <v>11</v>
      </c>
      <c r="K20" s="740">
        <f>-'Part VI-Pro Forma'!$B61/12</f>
        <v>0</v>
      </c>
    </row>
    <row r="21" spans="1:11" ht="20.25" customHeight="1">
      <c r="A21" s="2606">
        <v>12</v>
      </c>
      <c r="B21" s="740">
        <f>-'Part VI-Pro Forma'!$C58/12</f>
        <v>15722.211375713969</v>
      </c>
      <c r="D21" s="2606">
        <v>12</v>
      </c>
      <c r="E21" s="740">
        <f>-'Part VI-Pro Forma'!$C59/12</f>
        <v>0</v>
      </c>
      <c r="G21" s="2606">
        <v>12</v>
      </c>
      <c r="H21" s="740">
        <f>-'Part VI-Pro Forma'!$C60/12</f>
        <v>0</v>
      </c>
      <c r="J21" s="2606">
        <v>12</v>
      </c>
      <c r="K21" s="740">
        <f>-'Part VI-Pro Forma'!$C61/12</f>
        <v>0</v>
      </c>
    </row>
    <row r="22" spans="1:11" ht="20.25" customHeight="1">
      <c r="A22" s="2606">
        <v>13</v>
      </c>
      <c r="B22" s="740">
        <f>-'Part VI-Pro Forma'!$D58/12</f>
        <v>15722.211375713969</v>
      </c>
      <c r="D22" s="2606">
        <v>13</v>
      </c>
      <c r="E22" s="740">
        <f>-'Part VI-Pro Forma'!$D59/12</f>
        <v>0</v>
      </c>
      <c r="G22" s="2606">
        <v>13</v>
      </c>
      <c r="H22" s="740">
        <f>-'Part VI-Pro Forma'!$D60/12</f>
        <v>0</v>
      </c>
      <c r="J22" s="2606">
        <v>13</v>
      </c>
      <c r="K22" s="740">
        <f>-'Part VI-Pro Forma'!$D61/12</f>
        <v>0</v>
      </c>
    </row>
    <row r="23" spans="1:11" ht="20.25" customHeight="1">
      <c r="A23" s="2606">
        <v>14</v>
      </c>
      <c r="B23" s="740">
        <f>-'Part VI-Pro Forma'!$E58/12</f>
        <v>15722.211375713969</v>
      </c>
      <c r="D23" s="2606">
        <v>14</v>
      </c>
      <c r="E23" s="740">
        <f>-'Part VI-Pro Forma'!$E59/12</f>
        <v>0</v>
      </c>
      <c r="G23" s="2606">
        <v>14</v>
      </c>
      <c r="H23" s="740">
        <f>-'Part VI-Pro Forma'!$E60/12</f>
        <v>0</v>
      </c>
      <c r="J23" s="2606">
        <v>14</v>
      </c>
      <c r="K23" s="740">
        <f>-'Part VI-Pro Forma'!$E61/12</f>
        <v>0</v>
      </c>
    </row>
    <row r="24" spans="1:11" ht="20.25" customHeight="1">
      <c r="A24" s="1083">
        <v>15</v>
      </c>
      <c r="B24" s="1084">
        <f>-'Part VI-Pro Forma'!$F58/12</f>
        <v>15722.211375713969</v>
      </c>
      <c r="D24" s="1083">
        <v>15</v>
      </c>
      <c r="E24" s="1084">
        <f>-'Part VI-Pro Forma'!$F59/12</f>
        <v>0</v>
      </c>
      <c r="G24" s="1083">
        <v>15</v>
      </c>
      <c r="H24" s="1084">
        <f>-'Part VI-Pro Forma'!$F60/12</f>
        <v>0</v>
      </c>
      <c r="J24" s="1083">
        <v>15</v>
      </c>
      <c r="K24" s="1084">
        <f>-'Part VI-Pro Forma'!$F61/12</f>
        <v>0</v>
      </c>
    </row>
    <row r="25" spans="1:11" ht="20.25" customHeight="1">
      <c r="A25" s="2606">
        <v>16</v>
      </c>
      <c r="B25" s="740">
        <f>-'Part VI-Pro Forma'!$G58/12</f>
        <v>15722.211375713969</v>
      </c>
      <c r="D25" s="2606">
        <v>16</v>
      </c>
      <c r="E25" s="740">
        <f>-'Part VI-Pro Forma'!$G59/12</f>
        <v>0</v>
      </c>
      <c r="G25" s="2606">
        <v>16</v>
      </c>
      <c r="H25" s="740">
        <f>-'Part VI-Pro Forma'!$G60/12</f>
        <v>0</v>
      </c>
      <c r="J25" s="2606">
        <v>16</v>
      </c>
      <c r="K25" s="740">
        <f>-'Part VI-Pro Forma'!$G61/12</f>
        <v>0</v>
      </c>
    </row>
    <row r="26" spans="1:11" ht="20.25" customHeight="1">
      <c r="A26" s="2606">
        <v>17</v>
      </c>
      <c r="B26" s="740">
        <f>-'Part VI-Pro Forma'!$H58/12</f>
        <v>15722.211375713969</v>
      </c>
      <c r="D26" s="2606">
        <v>17</v>
      </c>
      <c r="E26" s="740">
        <f>-'Part VI-Pro Forma'!$H59/12</f>
        <v>0</v>
      </c>
      <c r="G26" s="2606">
        <v>17</v>
      </c>
      <c r="H26" s="740">
        <f>-'Part VI-Pro Forma'!$H60/12</f>
        <v>0</v>
      </c>
      <c r="J26" s="2606">
        <v>17</v>
      </c>
      <c r="K26" s="740">
        <f>-'Part VI-Pro Forma'!$H61/12</f>
        <v>0</v>
      </c>
    </row>
    <row r="27" spans="1:11" ht="20.25" customHeight="1">
      <c r="A27" s="2606">
        <v>18</v>
      </c>
      <c r="B27" s="740">
        <f>-'Part VI-Pro Forma'!$I58/12</f>
        <v>15722.211375713969</v>
      </c>
      <c r="D27" s="2606">
        <v>18</v>
      </c>
      <c r="E27" s="740">
        <f>-'Part VI-Pro Forma'!$I59/12</f>
        <v>0</v>
      </c>
      <c r="G27" s="2606">
        <v>18</v>
      </c>
      <c r="H27" s="740">
        <f>-'Part VI-Pro Forma'!$I60/12</f>
        <v>0</v>
      </c>
      <c r="J27" s="2606">
        <v>18</v>
      </c>
      <c r="K27" s="740">
        <f>-'Part VI-Pro Forma'!$I61/12</f>
        <v>0</v>
      </c>
    </row>
    <row r="28" spans="1:11" ht="20.25" customHeight="1">
      <c r="A28" s="2606">
        <v>19</v>
      </c>
      <c r="B28" s="740">
        <f>-'Part VI-Pro Forma'!$J58/12</f>
        <v>15722.211375713969</v>
      </c>
      <c r="D28" s="2606">
        <v>19</v>
      </c>
      <c r="E28" s="740">
        <f>-'Part VI-Pro Forma'!$J59/12</f>
        <v>0</v>
      </c>
      <c r="G28" s="2606">
        <v>19</v>
      </c>
      <c r="H28" s="740">
        <f>-'Part VI-Pro Forma'!$J60/12</f>
        <v>0</v>
      </c>
      <c r="J28" s="2606">
        <v>19</v>
      </c>
      <c r="K28" s="740">
        <f>-'Part VI-Pro Forma'!$J61/12</f>
        <v>0</v>
      </c>
    </row>
    <row r="29" spans="1:11" ht="20.25" customHeight="1">
      <c r="A29" s="1083">
        <v>20</v>
      </c>
      <c r="B29" s="1084">
        <f>-'Part VI-Pro Forma'!$K58/12</f>
        <v>15722.211375713969</v>
      </c>
      <c r="D29" s="1083">
        <v>20</v>
      </c>
      <c r="E29" s="1084">
        <f>-'Part VI-Pro Forma'!$K59/12</f>
        <v>0</v>
      </c>
      <c r="G29" s="1083">
        <v>20</v>
      </c>
      <c r="H29" s="1084">
        <f>-'Part VI-Pro Forma'!$K60/12</f>
        <v>0</v>
      </c>
      <c r="J29" s="1083">
        <v>20</v>
      </c>
      <c r="K29" s="1084">
        <f>-'Part VI-Pro Forma'!$K61/12</f>
        <v>0</v>
      </c>
    </row>
    <row r="30" spans="1:11" ht="20.25" customHeight="1">
      <c r="A30" s="2606">
        <v>21</v>
      </c>
      <c r="B30" s="740">
        <f>-'Part VI-Pro Forma'!$B90/12</f>
        <v>15722.211375713969</v>
      </c>
      <c r="D30" s="2606">
        <v>21</v>
      </c>
      <c r="E30" s="740">
        <f>-'Part VI-Pro Forma'!$B91/12</f>
        <v>0</v>
      </c>
      <c r="G30" s="2606">
        <v>21</v>
      </c>
      <c r="H30" s="740">
        <f>-'Part VI-Pro Forma'!$B92/12</f>
        <v>0</v>
      </c>
      <c r="J30" s="2606">
        <v>21</v>
      </c>
      <c r="K30" s="740">
        <f>-'Part VI-Pro Forma'!$B93/12</f>
        <v>0</v>
      </c>
    </row>
    <row r="31" spans="1:11" ht="20.25" customHeight="1">
      <c r="A31" s="2606">
        <v>22</v>
      </c>
      <c r="B31" s="740">
        <f>-'Part VI-Pro Forma'!$C90/12</f>
        <v>15722.211375713969</v>
      </c>
      <c r="D31" s="2606">
        <v>22</v>
      </c>
      <c r="E31" s="740">
        <f>-'Part VI-Pro Forma'!$C91/12</f>
        <v>0</v>
      </c>
      <c r="G31" s="2606">
        <v>22</v>
      </c>
      <c r="H31" s="740">
        <f>-'Part VI-Pro Forma'!$C92/12</f>
        <v>0</v>
      </c>
      <c r="J31" s="2606">
        <v>22</v>
      </c>
      <c r="K31" s="740">
        <f>-'Part VI-Pro Forma'!$C93/12</f>
        <v>0</v>
      </c>
    </row>
    <row r="32" spans="1:11" ht="20.25" customHeight="1">
      <c r="A32" s="2606">
        <v>23</v>
      </c>
      <c r="B32" s="740">
        <f>-'Part VI-Pro Forma'!$D90/12</f>
        <v>15722.211375713969</v>
      </c>
      <c r="D32" s="2606">
        <v>23</v>
      </c>
      <c r="E32" s="740">
        <f>-'Part VI-Pro Forma'!$D91/12</f>
        <v>0</v>
      </c>
      <c r="G32" s="2606">
        <v>23</v>
      </c>
      <c r="H32" s="740">
        <f>-'Part VI-Pro Forma'!$D92/12</f>
        <v>0</v>
      </c>
      <c r="J32" s="2606">
        <v>23</v>
      </c>
      <c r="K32" s="740">
        <f>-'Part VI-Pro Forma'!$D93/12</f>
        <v>0</v>
      </c>
    </row>
    <row r="33" spans="1:11" ht="20.25" customHeight="1">
      <c r="A33" s="2606">
        <v>24</v>
      </c>
      <c r="B33" s="740">
        <f>-'Part VI-Pro Forma'!$E90/12</f>
        <v>15722.211375713969</v>
      </c>
      <c r="D33" s="2606">
        <v>24</v>
      </c>
      <c r="E33" s="740">
        <f>-'Part VI-Pro Forma'!$E91/12</f>
        <v>0</v>
      </c>
      <c r="G33" s="2606">
        <v>24</v>
      </c>
      <c r="H33" s="740">
        <f>-'Part VI-Pro Forma'!$E92/12</f>
        <v>0</v>
      </c>
      <c r="J33" s="2606">
        <v>24</v>
      </c>
      <c r="K33" s="740">
        <f>-'Part VI-Pro Forma'!$E93/12</f>
        <v>0</v>
      </c>
    </row>
    <row r="34" spans="1:11" ht="20.25" customHeight="1">
      <c r="A34" s="1083">
        <v>25</v>
      </c>
      <c r="B34" s="1084">
        <f>-'Part VI-Pro Forma'!$F90/12</f>
        <v>15722.211375713969</v>
      </c>
      <c r="D34" s="1083">
        <v>25</v>
      </c>
      <c r="E34" s="1084">
        <f>-'Part VI-Pro Forma'!$F91/12</f>
        <v>0</v>
      </c>
      <c r="G34" s="1083">
        <v>25</v>
      </c>
      <c r="H34" s="1084">
        <f>-'Part VI-Pro Forma'!$F92/12</f>
        <v>0</v>
      </c>
      <c r="J34" s="1083">
        <v>25</v>
      </c>
      <c r="K34" s="1084">
        <f>-'Part VI-Pro Forma'!$F93/12</f>
        <v>0</v>
      </c>
    </row>
    <row r="35" spans="1:11" ht="20.25" customHeight="1">
      <c r="A35" s="2606">
        <v>26</v>
      </c>
      <c r="B35" s="740">
        <f>-'Part VI-Pro Forma'!$G90/12</f>
        <v>15722.211375713969</v>
      </c>
      <c r="D35" s="2606">
        <v>26</v>
      </c>
      <c r="E35" s="740">
        <f>-'Part VI-Pro Forma'!$G91/12</f>
        <v>0</v>
      </c>
      <c r="G35" s="2606">
        <v>26</v>
      </c>
      <c r="H35" s="740">
        <f>-'Part VI-Pro Forma'!$G92/12</f>
        <v>0</v>
      </c>
      <c r="J35" s="2606">
        <v>26</v>
      </c>
      <c r="K35" s="740">
        <f>-'Part VI-Pro Forma'!$G93/12</f>
        <v>0</v>
      </c>
    </row>
    <row r="36" spans="1:11" ht="20.25" customHeight="1">
      <c r="A36" s="2606">
        <v>27</v>
      </c>
      <c r="B36" s="740">
        <f>-'Part VI-Pro Forma'!$H90/12</f>
        <v>15722.211375713969</v>
      </c>
      <c r="D36" s="2606">
        <v>27</v>
      </c>
      <c r="E36" s="740">
        <f>-'Part VI-Pro Forma'!$H91/12</f>
        <v>0</v>
      </c>
      <c r="G36" s="2606">
        <v>27</v>
      </c>
      <c r="H36" s="740">
        <f>-'Part VI-Pro Forma'!$H92/12</f>
        <v>0</v>
      </c>
      <c r="J36" s="2606">
        <v>27</v>
      </c>
      <c r="K36" s="740">
        <f>-'Part VI-Pro Forma'!$H93/12</f>
        <v>0</v>
      </c>
    </row>
    <row r="37" spans="1:11" ht="20.25" customHeight="1">
      <c r="A37" s="2606">
        <v>28</v>
      </c>
      <c r="B37" s="740">
        <f>-'Part VI-Pro Forma'!$I90/12</f>
        <v>15722.211375713969</v>
      </c>
      <c r="D37" s="2606">
        <v>28</v>
      </c>
      <c r="E37" s="740">
        <f>-'Part VI-Pro Forma'!$I91/12</f>
        <v>0</v>
      </c>
      <c r="G37" s="2606">
        <v>28</v>
      </c>
      <c r="H37" s="740">
        <f>-'Part VI-Pro Forma'!$I92/12</f>
        <v>0</v>
      </c>
      <c r="J37" s="2606">
        <v>28</v>
      </c>
      <c r="K37" s="740">
        <f>-'Part VI-Pro Forma'!$I93/12</f>
        <v>0</v>
      </c>
    </row>
    <row r="38" spans="1:11" ht="20.25" customHeight="1">
      <c r="A38" s="2606">
        <v>29</v>
      </c>
      <c r="B38" s="740">
        <f>-'Part VI-Pro Forma'!$J90/12</f>
        <v>15722.211375713969</v>
      </c>
      <c r="D38" s="2606">
        <v>29</v>
      </c>
      <c r="E38" s="740">
        <f>-'Part VI-Pro Forma'!$J91/12</f>
        <v>0</v>
      </c>
      <c r="G38" s="2606">
        <v>29</v>
      </c>
      <c r="H38" s="740">
        <f>-'Part VI-Pro Forma'!$J92/12</f>
        <v>0</v>
      </c>
      <c r="J38" s="2606">
        <v>29</v>
      </c>
      <c r="K38" s="740">
        <f>-'Part VI-Pro Forma'!$J93/12</f>
        <v>0</v>
      </c>
    </row>
    <row r="39" spans="1:11" ht="20.25" customHeight="1">
      <c r="A39" s="1083">
        <v>30</v>
      </c>
      <c r="B39" s="1084">
        <f>-'Part VI-Pro Forma'!$K90/12</f>
        <v>15722.211375713969</v>
      </c>
      <c r="D39" s="1083">
        <v>30</v>
      </c>
      <c r="E39" s="1084">
        <f>-'Part VI-Pro Forma'!$K91/12</f>
        <v>0</v>
      </c>
      <c r="G39" s="1083">
        <v>30</v>
      </c>
      <c r="H39" s="1084">
        <f>-'Part VI-Pro Forma'!$K92/12</f>
        <v>0</v>
      </c>
      <c r="J39" s="1083">
        <v>30</v>
      </c>
      <c r="K39" s="1084">
        <f>-'Part VI-Pro Forma'!$K93/12</f>
        <v>0</v>
      </c>
    </row>
    <row r="40" spans="1:11" ht="20.25" customHeight="1">
      <c r="A40" s="2606">
        <v>31</v>
      </c>
      <c r="B40" s="740">
        <f>-'Part VI-Pro Forma'!$B120/12</f>
        <v>15722.211375713969</v>
      </c>
      <c r="D40" s="2606">
        <v>31</v>
      </c>
      <c r="E40" s="740">
        <f>-'Part VI-Pro Forma'!$B121/12</f>
        <v>0</v>
      </c>
      <c r="G40" s="2606">
        <v>31</v>
      </c>
      <c r="H40" s="740">
        <f>-'Part VI-Pro Forma'!$B122/12</f>
        <v>0</v>
      </c>
      <c r="J40" s="2606">
        <v>31</v>
      </c>
      <c r="K40" s="740">
        <f>-'Part VI-Pro Forma'!$B123/12</f>
        <v>0</v>
      </c>
    </row>
    <row r="41" spans="1:11" ht="20.25" customHeight="1">
      <c r="A41" s="2606">
        <v>32</v>
      </c>
      <c r="B41" s="740">
        <f>-'Part VI-Pro Forma'!$C120/12</f>
        <v>15722.211375713969</v>
      </c>
      <c r="D41" s="2606">
        <v>32</v>
      </c>
      <c r="E41" s="740">
        <f>-'Part VI-Pro Forma'!$C121/12</f>
        <v>0</v>
      </c>
      <c r="G41" s="2606">
        <v>32</v>
      </c>
      <c r="H41" s="740">
        <f>-'Part VI-Pro Forma'!$C122/12</f>
        <v>0</v>
      </c>
      <c r="J41" s="2606">
        <v>32</v>
      </c>
      <c r="K41" s="740">
        <f>-'Part VI-Pro Forma'!$C123/12</f>
        <v>0</v>
      </c>
    </row>
    <row r="42" spans="1:11" ht="20.25" customHeight="1">
      <c r="A42" s="2606">
        <v>33</v>
      </c>
      <c r="B42" s="740">
        <f>-'Part VI-Pro Forma'!$D120/12</f>
        <v>15722.211375713969</v>
      </c>
      <c r="D42" s="2606">
        <v>33</v>
      </c>
      <c r="E42" s="740">
        <f>-'Part VI-Pro Forma'!$D121/12</f>
        <v>0</v>
      </c>
      <c r="G42" s="2606">
        <v>33</v>
      </c>
      <c r="H42" s="740">
        <f>-'Part VI-Pro Forma'!$D122/12</f>
        <v>0</v>
      </c>
      <c r="J42" s="2606">
        <v>33</v>
      </c>
      <c r="K42" s="740">
        <f>-'Part VI-Pro Forma'!$D123/12</f>
        <v>0</v>
      </c>
    </row>
    <row r="43" spans="1:11" ht="20.25" customHeight="1">
      <c r="A43" s="2606">
        <v>34</v>
      </c>
      <c r="B43" s="740">
        <f>-'Part VI-Pro Forma'!$E120/12</f>
        <v>15722.211375713969</v>
      </c>
      <c r="D43" s="2606">
        <v>34</v>
      </c>
      <c r="E43" s="740">
        <f>-'Part VI-Pro Forma'!$E121/12</f>
        <v>0</v>
      </c>
      <c r="G43" s="2606">
        <v>34</v>
      </c>
      <c r="H43" s="740">
        <f>-'Part VI-Pro Forma'!$E122/12</f>
        <v>0</v>
      </c>
      <c r="J43" s="2606">
        <v>34</v>
      </c>
      <c r="K43" s="740">
        <f>-'Part VI-Pro Forma'!$E123/12</f>
        <v>0</v>
      </c>
    </row>
    <row r="44" spans="1:11" ht="20.25" customHeight="1">
      <c r="A44" s="2606">
        <v>35</v>
      </c>
      <c r="B44" s="740">
        <f>-'Part VI-Pro Forma'!$F120/12</f>
        <v>15722.211375713969</v>
      </c>
      <c r="D44" s="2606">
        <v>35</v>
      </c>
      <c r="E44" s="740">
        <f>-'Part VI-Pro Forma'!$F121/12</f>
        <v>0</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9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Abbington Blue Ridge</v>
      </c>
      <c r="B1" s="4128"/>
      <c r="C1" s="4128"/>
      <c r="D1" s="4128"/>
      <c r="E1" s="4128"/>
      <c r="F1" s="4128"/>
      <c r="G1" s="4128"/>
      <c r="H1" s="4128"/>
    </row>
    <row r="3" spans="1:11" ht="12" customHeight="1">
      <c r="A3" s="4129" t="s">
        <v>3260</v>
      </c>
      <c r="B3" s="4129"/>
      <c r="C3" s="4129"/>
      <c r="D3" s="4129"/>
      <c r="E3" s="4129"/>
      <c r="F3" s="4129"/>
      <c r="G3" s="4129"/>
      <c r="H3" s="4129"/>
      <c r="I3" s="773"/>
      <c r="J3" s="4131" t="s">
        <v>3261</v>
      </c>
      <c r="K3" s="4131"/>
    </row>
    <row r="4" spans="1:11">
      <c r="J4" s="4131"/>
      <c r="K4" s="4131"/>
    </row>
    <row r="5" spans="1:11" ht="12" customHeight="1">
      <c r="A5" s="314">
        <v>1</v>
      </c>
      <c r="C5" s="314" t="s">
        <v>3262</v>
      </c>
      <c r="E5" s="464">
        <f>'Sensitivity Analysis'!H9</f>
        <v>0</v>
      </c>
      <c r="J5" s="4131"/>
      <c r="K5" s="4131"/>
    </row>
    <row r="6" spans="1:11" ht="3" customHeight="1">
      <c r="H6" s="2622"/>
      <c r="J6" s="4131"/>
      <c r="K6" s="4131"/>
    </row>
    <row r="7" spans="1:11" ht="12" customHeight="1">
      <c r="A7" s="314">
        <v>2</v>
      </c>
      <c r="C7" s="314" t="s">
        <v>3263</v>
      </c>
      <c r="E7" s="4132"/>
      <c r="F7" s="4132"/>
      <c r="G7" s="4132"/>
      <c r="H7" s="4132"/>
      <c r="J7" s="4131"/>
      <c r="K7" s="4131"/>
    </row>
    <row r="8" spans="1:11" ht="12" customHeight="1">
      <c r="E8" s="4132"/>
      <c r="F8" s="4132"/>
      <c r="G8" s="4132"/>
      <c r="H8" s="4132"/>
      <c r="J8" s="4131"/>
      <c r="K8" s="4131"/>
    </row>
    <row r="9" spans="1:11" ht="12" customHeight="1">
      <c r="C9" s="314" t="s">
        <v>3264</v>
      </c>
      <c r="E9" s="4130"/>
      <c r="F9" s="4130"/>
      <c r="J9" s="4131"/>
      <c r="K9" s="4131"/>
    </row>
    <row r="10" spans="1:11" ht="12" customHeight="1">
      <c r="C10" s="314" t="s">
        <v>3265</v>
      </c>
      <c r="E10" s="4132"/>
      <c r="F10" s="4132"/>
      <c r="G10" s="4132"/>
      <c r="H10" s="4132"/>
    </row>
    <row r="11" spans="1:11" ht="12" customHeight="1">
      <c r="C11" s="314" t="s">
        <v>3266</v>
      </c>
      <c r="E11" s="4132"/>
      <c r="F11" s="4132"/>
      <c r="G11" s="4132"/>
      <c r="H11" s="4132"/>
    </row>
    <row r="12" spans="1:11" ht="12" customHeight="1">
      <c r="C12" s="314" t="s">
        <v>3267</v>
      </c>
      <c r="E12" s="2625"/>
    </row>
    <row r="13" spans="1:11" ht="12" customHeight="1">
      <c r="C13" s="314" t="s">
        <v>3268</v>
      </c>
      <c r="E13" s="2625"/>
    </row>
    <row r="14" spans="1:11" ht="3" customHeight="1"/>
    <row r="15" spans="1:11" ht="12" customHeight="1">
      <c r="A15" s="314">
        <v>3</v>
      </c>
      <c r="C15" s="314" t="s">
        <v>3269</v>
      </c>
      <c r="E15" s="464" t="str">
        <f>'Sensitivity Analysis'!C8</f>
        <v>Abbington Blue Ridge</v>
      </c>
    </row>
    <row r="16" spans="1:11" ht="12" customHeight="1">
      <c r="C16" s="314" t="s">
        <v>3270</v>
      </c>
      <c r="E16" s="4132"/>
      <c r="F16" s="4132"/>
      <c r="G16" s="4132"/>
      <c r="H16" s="4132"/>
    </row>
    <row r="17" spans="1:8" ht="12" customHeight="1">
      <c r="E17" s="320" t="str">
        <f>'Part I-Project Identification'!F27</f>
        <v>Blue Ridge</v>
      </c>
      <c r="F17" s="2627" t="s">
        <v>313</v>
      </c>
      <c r="G17" s="4133" t="s">
        <v>3271</v>
      </c>
      <c r="H17" s="4133"/>
    </row>
    <row r="18" spans="1:8" ht="12" customHeight="1">
      <c r="E18" s="464" t="str">
        <f>'Part I-Project Identification'!J27</f>
        <v>Fannin</v>
      </c>
    </row>
    <row r="19" spans="1:8" ht="3" customHeight="1"/>
    <row r="20" spans="1:8" ht="12" customHeight="1">
      <c r="A20" s="314">
        <v>4</v>
      </c>
      <c r="C20" s="314" t="s">
        <v>3272</v>
      </c>
      <c r="E20" s="4132"/>
      <c r="F20" s="4132"/>
      <c r="G20" s="4132"/>
      <c r="H20" s="4132"/>
    </row>
    <row r="21" spans="1:8" ht="12" customHeight="1">
      <c r="C21" s="314" t="s">
        <v>3273</v>
      </c>
      <c r="E21" s="4132"/>
      <c r="F21" s="4132"/>
      <c r="G21" s="4132"/>
      <c r="H21" s="4132"/>
    </row>
    <row r="22" spans="1:8" ht="12" customHeight="1">
      <c r="E22" s="4132"/>
      <c r="F22" s="4132"/>
      <c r="G22" s="4132"/>
      <c r="H22" s="4132"/>
    </row>
    <row r="23" spans="1:8" ht="12" customHeight="1">
      <c r="C23" s="314" t="s">
        <v>3267</v>
      </c>
      <c r="E23" s="2625"/>
    </row>
    <row r="24" spans="1:8" ht="12" customHeight="1">
      <c r="C24" s="314" t="s">
        <v>3268</v>
      </c>
      <c r="E24" s="2625"/>
    </row>
    <row r="25" spans="1:8" ht="12" customHeight="1">
      <c r="C25" s="314" t="s">
        <v>3266</v>
      </c>
      <c r="E25" s="4132"/>
      <c r="F25" s="4132"/>
      <c r="G25" s="4132"/>
      <c r="H25" s="4132"/>
    </row>
    <row r="26" spans="1:8" ht="3" customHeight="1">
      <c r="E26" s="464"/>
    </row>
    <row r="27" spans="1:8" ht="12" customHeight="1">
      <c r="A27" s="314">
        <v>5</v>
      </c>
      <c r="C27" s="314" t="s">
        <v>3274</v>
      </c>
      <c r="E27" s="464" t="str">
        <f>'Sensitivity Analysis'!$H$7</f>
        <v>New Construction</v>
      </c>
    </row>
    <row r="28" spans="1:8" ht="12" customHeight="1">
      <c r="E28" s="464" t="str">
        <f>'Part I-Project Identification'!F12</f>
        <v>9% Credit Competitive Round only</v>
      </c>
    </row>
    <row r="29" spans="1:8" ht="12" customHeight="1">
      <c r="C29" s="314" t="s">
        <v>3275</v>
      </c>
      <c r="E29" s="314" t="str">
        <f>'Sensitivity Analysis'!$C$9</f>
        <v>&lt;&lt;Select&gt;&gt;</v>
      </c>
    </row>
    <row r="30" spans="1:8" ht="3" customHeight="1"/>
    <row r="31" spans="1:8" ht="12" customHeight="1">
      <c r="A31" s="314">
        <v>6</v>
      </c>
      <c r="C31" s="314" t="s">
        <v>3276</v>
      </c>
      <c r="E31" s="314" t="s">
        <v>3277</v>
      </c>
      <c r="F31" s="774">
        <f>'Part II-Sources of Funds'!L22</f>
        <v>12000000</v>
      </c>
      <c r="G31" s="314" t="s">
        <v>3278</v>
      </c>
    </row>
    <row r="32" spans="1:8" ht="12" customHeight="1">
      <c r="F32" s="774" t="s">
        <v>3279</v>
      </c>
      <c r="G32" s="314" t="s">
        <v>3280</v>
      </c>
    </row>
    <row r="33" spans="1:8" ht="3" customHeight="1">
      <c r="F33" s="460"/>
    </row>
    <row r="34" spans="1:8" ht="12" customHeight="1">
      <c r="A34" s="314">
        <v>7</v>
      </c>
      <c r="C34" s="314" t="s">
        <v>3281</v>
      </c>
      <c r="F34" s="775">
        <v>0</v>
      </c>
    </row>
    <row r="35" spans="1:8" ht="3" customHeight="1">
      <c r="F35" s="460"/>
    </row>
    <row r="36" spans="1:8" ht="12" customHeight="1">
      <c r="A36" s="314">
        <v>8</v>
      </c>
      <c r="C36" s="314" t="s">
        <v>3282</v>
      </c>
      <c r="E36" s="314" t="s">
        <v>3277</v>
      </c>
      <c r="F36" s="776">
        <v>0.01</v>
      </c>
    </row>
    <row r="37" spans="1:8" ht="3" customHeight="1">
      <c r="F37" s="775"/>
    </row>
    <row r="38" spans="1:8" ht="12" customHeight="1">
      <c r="A38" s="314">
        <v>9</v>
      </c>
      <c r="C38" s="314" t="s">
        <v>3283</v>
      </c>
      <c r="F38" s="777">
        <v>24</v>
      </c>
      <c r="G38" s="314" t="s">
        <v>3284</v>
      </c>
    </row>
    <row r="39" spans="1:8" ht="3" customHeight="1">
      <c r="F39" s="775"/>
    </row>
    <row r="40" spans="1:8" ht="12" customHeight="1">
      <c r="A40" s="314">
        <v>10</v>
      </c>
      <c r="C40" s="314" t="s">
        <v>3285</v>
      </c>
      <c r="E40" s="314" t="s">
        <v>3277</v>
      </c>
      <c r="F40" s="460">
        <f>'Part II-Sources of Funds'!L40*12</f>
        <v>480</v>
      </c>
      <c r="G40" s="314" t="s">
        <v>3284</v>
      </c>
    </row>
    <row r="41" spans="1:8" ht="3" customHeight="1">
      <c r="F41" s="460"/>
    </row>
    <row r="42" spans="1:8" ht="12" customHeight="1">
      <c r="A42" s="314">
        <v>11</v>
      </c>
      <c r="C42" s="314" t="s">
        <v>3286</v>
      </c>
      <c r="F42" s="778">
        <v>24</v>
      </c>
      <c r="G42" s="314" t="s">
        <v>3284</v>
      </c>
    </row>
    <row r="43" spans="1:8" ht="3" customHeight="1"/>
    <row r="44" spans="1:8" ht="12" customHeight="1">
      <c r="A44" s="314">
        <v>12</v>
      </c>
      <c r="C44" s="314" t="s">
        <v>3287</v>
      </c>
      <c r="F44" s="779" t="s">
        <v>3288</v>
      </c>
    </row>
    <row r="45" spans="1:8" ht="3" customHeight="1"/>
    <row r="46" spans="1:8" ht="12" customHeight="1">
      <c r="A46" s="314">
        <v>13</v>
      </c>
      <c r="C46" s="314" t="s">
        <v>3289</v>
      </c>
      <c r="E46" s="314" t="s">
        <v>3277</v>
      </c>
      <c r="F46" s="464" t="s">
        <v>3290</v>
      </c>
    </row>
    <row r="47" spans="1:8" ht="3" customHeight="1">
      <c r="F47" s="2622"/>
    </row>
    <row r="48" spans="1:8" ht="12" customHeight="1">
      <c r="A48" s="314">
        <v>14</v>
      </c>
      <c r="C48" s="314" t="s">
        <v>3291</v>
      </c>
      <c r="E48" s="4132"/>
      <c r="F48" s="4132"/>
      <c r="G48" s="4132"/>
      <c r="H48" s="4132"/>
    </row>
    <row r="49" spans="1:8" ht="3" customHeight="1">
      <c r="E49" s="464"/>
    </row>
    <row r="50" spans="1:8" ht="12" customHeight="1">
      <c r="A50" s="314">
        <v>15</v>
      </c>
      <c r="C50" s="314" t="s">
        <v>3292</v>
      </c>
      <c r="E50" s="4132"/>
      <c r="F50" s="4132"/>
      <c r="G50" s="4132"/>
      <c r="H50" s="4132"/>
    </row>
    <row r="51" spans="1:8" ht="12" customHeight="1">
      <c r="C51" s="314" t="s">
        <v>3293</v>
      </c>
      <c r="E51" s="4132"/>
      <c r="F51" s="4132"/>
      <c r="G51" s="4132"/>
      <c r="H51" s="4132"/>
    </row>
    <row r="52" spans="1:8" ht="3" customHeight="1">
      <c r="F52" s="460"/>
    </row>
    <row r="53" spans="1:8" ht="12" customHeight="1">
      <c r="A53" s="314">
        <v>16</v>
      </c>
      <c r="C53" s="314" t="s">
        <v>3294</v>
      </c>
      <c r="F53" s="778">
        <f>ProrationMethodCostAllocatnDCA!$D$64</f>
        <v>0</v>
      </c>
    </row>
    <row r="54" spans="1:8" ht="3" customHeight="1">
      <c r="F54" s="460"/>
    </row>
    <row r="55" spans="1:8" ht="12" customHeight="1">
      <c r="A55" s="314">
        <v>17</v>
      </c>
      <c r="C55" s="314" t="s">
        <v>3295</v>
      </c>
      <c r="F55" s="780" t="e">
        <f>ProrationMethodCostAllocatnDCA!$H$52</f>
        <v>#VALUE!</v>
      </c>
    </row>
    <row r="56" spans="1:8" ht="3" customHeight="1">
      <c r="F56" s="460"/>
    </row>
    <row r="57" spans="1:8" ht="12" customHeight="1">
      <c r="A57" s="314">
        <v>18</v>
      </c>
      <c r="C57" s="314" t="s">
        <v>3296</v>
      </c>
      <c r="F57" s="780">
        <f>'Part V-Revenues &amp; Expenses'!P66</f>
        <v>0</v>
      </c>
      <c r="G57" s="314" t="s">
        <v>3297</v>
      </c>
    </row>
    <row r="58" spans="1:8" ht="3" customHeight="1">
      <c r="F58" s="460"/>
    </row>
    <row r="59" spans="1:8" ht="12" customHeight="1">
      <c r="A59" s="314">
        <v>19</v>
      </c>
      <c r="C59" s="314" t="s">
        <v>3298</v>
      </c>
      <c r="F59" s="1150">
        <f>'Part VII-Threshold Criteria OLD'!$P$44</f>
        <v>0</v>
      </c>
      <c r="G59" s="314" t="s">
        <v>3299</v>
      </c>
    </row>
    <row r="60" spans="1:8" ht="3" customHeight="1">
      <c r="F60" s="460"/>
    </row>
    <row r="61" spans="1:8" ht="12" customHeight="1">
      <c r="A61" s="314">
        <v>20</v>
      </c>
      <c r="C61" s="314" t="s">
        <v>3300</v>
      </c>
      <c r="F61" s="781">
        <f>'Subsidy Layering Memo'!$L$70</f>
        <v>2027890.2309035002</v>
      </c>
    </row>
    <row r="62" spans="1:8" ht="3" customHeight="1"/>
    <row r="63" spans="1:8" ht="12" customHeight="1">
      <c r="A63" s="314">
        <v>21</v>
      </c>
      <c r="C63" s="314" t="s">
        <v>3301</v>
      </c>
      <c r="E63" s="782" t="s">
        <v>3302</v>
      </c>
      <c r="F63" s="783" t="s">
        <v>3303</v>
      </c>
      <c r="G63" s="782" t="s">
        <v>3304</v>
      </c>
    </row>
    <row r="64" spans="1:8" ht="12" customHeight="1">
      <c r="E64" s="782" t="s">
        <v>3302</v>
      </c>
      <c r="F64" s="783" t="s">
        <v>3303</v>
      </c>
      <c r="G64" s="782" t="s">
        <v>3305</v>
      </c>
    </row>
    <row r="65" spans="1:7" ht="12" customHeight="1">
      <c r="E65" s="782" t="s">
        <v>3302</v>
      </c>
      <c r="F65" s="783" t="s">
        <v>3303</v>
      </c>
      <c r="G65" s="782" t="s">
        <v>3306</v>
      </c>
    </row>
    <row r="66" spans="1:7" ht="12" customHeight="1">
      <c r="E66" s="782" t="s">
        <v>3302</v>
      </c>
      <c r="F66" s="783" t="s">
        <v>3303</v>
      </c>
      <c r="G66" s="782" t="s">
        <v>3307</v>
      </c>
    </row>
    <row r="67" spans="1:7" ht="3" customHeight="1"/>
    <row r="68" spans="1:7" ht="12" customHeight="1">
      <c r="A68" s="314">
        <v>22</v>
      </c>
      <c r="C68" s="314" t="s">
        <v>3308</v>
      </c>
      <c r="E68" s="464">
        <f>'Sensitivity Analysis'!H9</f>
        <v>0</v>
      </c>
    </row>
    <row r="69" spans="1:7" ht="3" customHeight="1"/>
    <row r="70" spans="1:7" ht="12" customHeight="1">
      <c r="A70" s="314">
        <v>23</v>
      </c>
      <c r="C70" s="314" t="s">
        <v>3309</v>
      </c>
      <c r="F70" s="460" t="s">
        <v>3310</v>
      </c>
    </row>
    <row r="71" spans="1:7" ht="3" customHeight="1"/>
    <row r="72" spans="1:7" ht="12" customHeight="1">
      <c r="A72" s="314">
        <v>24</v>
      </c>
      <c r="C72" s="314" t="s">
        <v>3311</v>
      </c>
      <c r="E72" s="314" t="s">
        <v>3277</v>
      </c>
      <c r="F72" s="460">
        <v>20</v>
      </c>
      <c r="G72" s="314" t="s">
        <v>512</v>
      </c>
    </row>
    <row r="73" spans="1:7" ht="3" customHeight="1"/>
    <row r="74" spans="1:7" ht="12" customHeight="1">
      <c r="A74" s="314">
        <v>25</v>
      </c>
      <c r="C74" s="314" t="s">
        <v>3312</v>
      </c>
      <c r="F74" s="784">
        <f>'Part III-A-Uses of Funds'!$G$131</f>
        <v>245665</v>
      </c>
    </row>
    <row r="75" spans="1:7" ht="3" customHeight="1">
      <c r="F75" s="784"/>
    </row>
    <row r="76" spans="1:7" ht="12" customHeight="1">
      <c r="A76" s="314">
        <v>26</v>
      </c>
      <c r="C76" s="314" t="s">
        <v>3313</v>
      </c>
      <c r="F76" s="784">
        <f>'Part III-A-Uses of Funds'!$G$132</f>
        <v>0</v>
      </c>
    </row>
    <row r="77" spans="1:7" ht="3" customHeight="1">
      <c r="F77" s="784"/>
    </row>
    <row r="78" spans="1:7" ht="12" customHeight="1">
      <c r="A78" s="314">
        <v>27</v>
      </c>
      <c r="C78" s="314" t="s">
        <v>3314</v>
      </c>
      <c r="F78" s="784">
        <f>'Part III-A-Uses of Funds'!$G$130</f>
        <v>75666</v>
      </c>
    </row>
    <row r="79" spans="1:7" ht="3" customHeight="1">
      <c r="F79" s="784"/>
    </row>
    <row r="80" spans="1:7" ht="12" customHeight="1">
      <c r="A80" s="314">
        <v>28</v>
      </c>
      <c r="C80" s="314" t="s">
        <v>3315</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95"/>
  <cols>
    <col min="1" max="1" width="23.42578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4.1">
      <c r="A1" s="4137" t="s">
        <v>3316</v>
      </c>
      <c r="B1" s="4137"/>
      <c r="C1" s="4137"/>
      <c r="D1" s="4137"/>
      <c r="E1" s="4137"/>
      <c r="F1" s="4137"/>
      <c r="G1" s="4137"/>
      <c r="H1" s="4137"/>
      <c r="I1" s="4137"/>
      <c r="J1" s="4137"/>
    </row>
    <row r="2" spans="1:13" ht="14.1">
      <c r="A2" s="4137" t="str">
        <f>'Sensitivity Analysis'!E8&amp;"  "&amp;'Sensitivity Analysis'!C8</f>
        <v>2024-0  Abbington Blue Ridge</v>
      </c>
      <c r="B2" s="4137"/>
      <c r="C2" s="4137"/>
      <c r="D2" s="4137"/>
      <c r="E2" s="4137"/>
      <c r="F2" s="4137"/>
      <c r="G2" s="4137"/>
      <c r="H2" s="4137"/>
      <c r="I2" s="4137"/>
      <c r="J2" s="4137"/>
    </row>
    <row r="3" spans="1:13" ht="6" customHeight="1">
      <c r="K3" s="4131" t="s">
        <v>3261</v>
      </c>
      <c r="L3" s="4131"/>
      <c r="M3" s="4131"/>
    </row>
    <row r="4" spans="1:13" ht="12" customHeight="1">
      <c r="A4" s="458" t="s">
        <v>3317</v>
      </c>
      <c r="K4" s="4131"/>
      <c r="L4" s="4131"/>
      <c r="M4" s="4131"/>
    </row>
    <row r="5" spans="1:13" ht="12" customHeight="1">
      <c r="A5" s="314" t="s">
        <v>3318</v>
      </c>
      <c r="C5" s="411" t="str">
        <f>'Subsidy Layering Memo'!D6</f>
        <v>(Underwriter)</v>
      </c>
      <c r="I5" s="411"/>
      <c r="K5" s="4131"/>
      <c r="L5" s="4131"/>
      <c r="M5" s="4131"/>
    </row>
    <row r="6" spans="1:13" ht="6" customHeight="1">
      <c r="C6" s="411"/>
      <c r="D6" s="411"/>
      <c r="I6" s="411"/>
      <c r="K6" s="4131"/>
      <c r="L6" s="4131"/>
      <c r="M6" s="4131"/>
    </row>
    <row r="7" spans="1:13" ht="12" customHeight="1">
      <c r="A7" s="458" t="s">
        <v>3319</v>
      </c>
      <c r="C7" s="411"/>
      <c r="D7" s="411"/>
      <c r="I7" s="411"/>
      <c r="K7" s="4131"/>
      <c r="L7" s="4131"/>
      <c r="M7" s="4131"/>
    </row>
    <row r="8" spans="1:13" ht="12" customHeight="1">
      <c r="A8" s="314" t="s">
        <v>3320</v>
      </c>
      <c r="C8" s="411">
        <f>'Sensitivity Analysis'!$H$9</f>
        <v>0</v>
      </c>
      <c r="I8" s="411"/>
      <c r="K8" s="4131"/>
      <c r="L8" s="4131"/>
      <c r="M8" s="4131"/>
    </row>
    <row r="9" spans="1:13" ht="3" customHeight="1">
      <c r="C9" s="411"/>
      <c r="D9" s="411"/>
      <c r="I9" s="411"/>
    </row>
    <row r="10" spans="1:13" ht="12" customHeight="1">
      <c r="A10" s="314" t="s">
        <v>3321</v>
      </c>
      <c r="C10" s="742" t="s">
        <v>726</v>
      </c>
      <c r="I10" s="411"/>
    </row>
    <row r="11" spans="1:13" ht="12" customHeight="1">
      <c r="C11" s="742" t="s">
        <v>726</v>
      </c>
      <c r="I11" s="411"/>
    </row>
    <row r="12" spans="1:13" ht="12" customHeight="1">
      <c r="C12" s="411" t="s">
        <v>2138</v>
      </c>
      <c r="D12" s="470" t="s">
        <v>726</v>
      </c>
      <c r="I12" s="411"/>
    </row>
    <row r="13" spans="1:13" ht="12" customHeight="1">
      <c r="C13" s="411" t="s">
        <v>3322</v>
      </c>
      <c r="D13" s="4136"/>
      <c r="E13" s="4136"/>
      <c r="F13" s="4136"/>
      <c r="G13" s="4136"/>
      <c r="H13" s="4136"/>
      <c r="I13" s="4136"/>
      <c r="J13" s="4136"/>
    </row>
    <row r="14" spans="1:13" ht="3" customHeight="1">
      <c r="G14" s="411"/>
      <c r="H14" s="411"/>
      <c r="I14" s="411"/>
    </row>
    <row r="15" spans="1:13" ht="12" customHeight="1">
      <c r="A15" s="314" t="s">
        <v>3323</v>
      </c>
      <c r="C15" s="459">
        <f>'Preview term'!E10</f>
        <v>0</v>
      </c>
      <c r="G15" s="411"/>
      <c r="I15" s="411"/>
    </row>
    <row r="16" spans="1:13" ht="12" customHeight="1">
      <c r="A16" s="464" t="s">
        <v>3324</v>
      </c>
      <c r="C16" s="459">
        <f>'Part II-Development Team'!Q7</f>
        <v>0</v>
      </c>
      <c r="G16" s="411"/>
      <c r="I16" s="411"/>
    </row>
    <row r="17" spans="1:9" ht="3" customHeight="1">
      <c r="G17" s="411"/>
      <c r="H17" s="411"/>
      <c r="I17" s="411"/>
    </row>
    <row r="18" spans="1:9" ht="12" customHeight="1">
      <c r="A18" s="314" t="s">
        <v>3325</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3326</v>
      </c>
      <c r="C21" s="459" t="str">
        <f>CONCATENATE('Preview term'!E50," of  ",'Preview term'!G50)</f>
        <v xml:space="preserve"> of  </v>
      </c>
      <c r="G21" s="411"/>
      <c r="I21" s="411"/>
    </row>
    <row r="22" spans="1:9" ht="3" customHeight="1">
      <c r="C22" s="459"/>
      <c r="G22" s="411"/>
      <c r="I22" s="411"/>
    </row>
    <row r="23" spans="1:9" ht="12" customHeight="1">
      <c r="A23" s="314" t="s">
        <v>3327</v>
      </c>
      <c r="C23" s="459">
        <f>'Preview term'!E12</f>
        <v>0</v>
      </c>
      <c r="G23" s="411"/>
      <c r="I23" s="411"/>
    </row>
    <row r="24" spans="1:9" ht="3" customHeight="1">
      <c r="C24" s="459"/>
      <c r="G24" s="411"/>
      <c r="I24" s="411"/>
    </row>
    <row r="25" spans="1:9" ht="12" customHeight="1">
      <c r="A25" s="314" t="s">
        <v>3328</v>
      </c>
      <c r="C25" s="744">
        <f>'Preview term'!E11</f>
        <v>0</v>
      </c>
      <c r="G25" s="411"/>
    </row>
    <row r="26" spans="1:9" ht="6" customHeight="1">
      <c r="G26" s="411"/>
      <c r="H26" s="411"/>
      <c r="I26" s="411"/>
    </row>
    <row r="27" spans="1:9" ht="12" customHeight="1">
      <c r="A27" s="458" t="s">
        <v>3329</v>
      </c>
      <c r="G27" s="411"/>
      <c r="H27" s="411"/>
      <c r="I27" s="411"/>
    </row>
    <row r="28" spans="1:9" ht="12" customHeight="1">
      <c r="A28" s="314" t="s">
        <v>3330</v>
      </c>
      <c r="C28" s="459" t="str">
        <f>'Sensitivity Analysis'!$C$8</f>
        <v>Abbington Blue Ridge</v>
      </c>
      <c r="I28" s="411"/>
    </row>
    <row r="29" spans="1:9" ht="3" customHeight="1">
      <c r="C29" s="459"/>
      <c r="I29" s="411"/>
    </row>
    <row r="30" spans="1:9" ht="12" customHeight="1">
      <c r="A30" s="314" t="s">
        <v>3331</v>
      </c>
      <c r="C30" s="459">
        <f>'Preview term'!E16</f>
        <v>0</v>
      </c>
      <c r="I30" s="411"/>
    </row>
    <row r="31" spans="1:9">
      <c r="C31" s="411" t="str">
        <f>'Preview term'!E17</f>
        <v>Blue Ridge</v>
      </c>
      <c r="I31" s="411"/>
    </row>
    <row r="32" spans="1:9" ht="3" customHeight="1">
      <c r="C32" s="411"/>
      <c r="D32" s="411"/>
      <c r="I32" s="411"/>
    </row>
    <row r="33" spans="1:10" ht="12" customHeight="1">
      <c r="A33" s="314" t="s">
        <v>3332</v>
      </c>
      <c r="C33" s="411" t="s">
        <v>3333</v>
      </c>
      <c r="D33" s="743" t="e">
        <f>'Preview term'!$F$55</f>
        <v>#VALUE!</v>
      </c>
      <c r="I33" s="411"/>
    </row>
    <row r="34" spans="1:10" ht="12" customHeight="1">
      <c r="C34" s="411" t="s">
        <v>3334</v>
      </c>
      <c r="D34" s="1545" t="e">
        <f>D35-D33</f>
        <v>#VALUE!</v>
      </c>
      <c r="I34" s="411"/>
    </row>
    <row r="35" spans="1:10" ht="12" customHeight="1">
      <c r="C35" s="411" t="s">
        <v>3335</v>
      </c>
      <c r="D35" s="4711">
        <f>'Preview term'!$F$53</f>
        <v>0</v>
      </c>
      <c r="I35" s="411"/>
    </row>
    <row r="36" spans="1:10" ht="3" customHeight="1">
      <c r="C36" s="411"/>
      <c r="D36" s="411"/>
      <c r="I36" s="411"/>
    </row>
    <row r="37" spans="1:10" ht="12" customHeight="1">
      <c r="A37" s="314" t="s">
        <v>3336</v>
      </c>
      <c r="C37" s="782" t="s">
        <v>726</v>
      </c>
      <c r="D37" s="741">
        <f>'Preview term'!F57</f>
        <v>0</v>
      </c>
      <c r="E37" s="411" t="s">
        <v>3337</v>
      </c>
      <c r="I37" s="411"/>
    </row>
    <row r="38" spans="1:10" ht="3" customHeight="1">
      <c r="G38" s="2623"/>
      <c r="H38" s="411"/>
      <c r="I38" s="411"/>
    </row>
    <row r="39" spans="1:10" ht="25.5" customHeight="1">
      <c r="A39" s="461" t="s">
        <v>3338</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3339</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3340</v>
      </c>
      <c r="C42" s="4138" t="s">
        <v>3341</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3342</v>
      </c>
      <c r="C44" s="367" t="str">
        <f>'Part I-Project Identification'!J27</f>
        <v>Fannin</v>
      </c>
      <c r="D44" s="320"/>
      <c r="F44" s="321"/>
      <c r="I44" s="321"/>
      <c r="J44" s="321"/>
    </row>
    <row r="45" spans="1:10" ht="3" customHeight="1">
      <c r="C45" s="320"/>
      <c r="D45" s="320"/>
      <c r="E45" s="320"/>
      <c r="F45" s="321"/>
      <c r="I45" s="321"/>
      <c r="J45" s="321"/>
    </row>
    <row r="46" spans="1:10" ht="12" customHeight="1">
      <c r="A46" s="314" t="s">
        <v>3343</v>
      </c>
      <c r="C46" s="470" t="s">
        <v>726</v>
      </c>
      <c r="I46" s="321"/>
      <c r="J46" s="321"/>
    </row>
    <row r="47" spans="1:10" ht="3" customHeight="1">
      <c r="C47" s="411"/>
      <c r="D47" s="2623"/>
      <c r="I47" s="411"/>
    </row>
    <row r="48" spans="1:10" ht="12" customHeight="1">
      <c r="A48" s="314" t="s">
        <v>3344</v>
      </c>
      <c r="C48" s="1151">
        <f>'Preview term'!F59</f>
        <v>0</v>
      </c>
      <c r="I48" s="462"/>
      <c r="J48" s="462"/>
    </row>
    <row r="49" spans="1:10" ht="3" customHeight="1">
      <c r="D49" s="462"/>
      <c r="E49" s="462"/>
      <c r="F49" s="462"/>
      <c r="G49" s="462"/>
      <c r="H49" s="411"/>
      <c r="I49" s="462"/>
      <c r="J49" s="462"/>
    </row>
    <row r="50" spans="1:10" ht="12" customHeight="1">
      <c r="A50" s="411"/>
      <c r="B50" s="314" t="s">
        <v>3345</v>
      </c>
      <c r="C50" s="4138" t="s">
        <v>3346</v>
      </c>
      <c r="D50" s="4138"/>
      <c r="E50" s="4138"/>
      <c r="F50" s="4138"/>
      <c r="G50" s="4138"/>
      <c r="H50" s="4138"/>
      <c r="I50" s="4138"/>
      <c r="J50" s="4138"/>
    </row>
    <row r="51" spans="1:10" ht="12" customHeight="1">
      <c r="C51" s="4140" t="s">
        <v>3347</v>
      </c>
      <c r="D51" s="4140"/>
      <c r="E51" s="4140"/>
      <c r="F51" s="4140"/>
      <c r="G51" s="4140"/>
      <c r="H51" s="4140"/>
      <c r="I51" s="4140"/>
      <c r="J51" s="4140"/>
    </row>
    <row r="52" spans="1:10" ht="3" customHeight="1">
      <c r="D52" s="462"/>
      <c r="E52" s="462"/>
      <c r="F52" s="462"/>
      <c r="G52" s="462"/>
      <c r="H52" s="411"/>
      <c r="I52" s="462"/>
      <c r="J52" s="462"/>
    </row>
    <row r="53" spans="1:10" ht="12" customHeight="1">
      <c r="A53" s="461" t="s">
        <v>3348</v>
      </c>
      <c r="B53" s="461"/>
      <c r="C53" s="463" t="s">
        <v>3349</v>
      </c>
      <c r="D53" s="463" t="s">
        <v>3350</v>
      </c>
      <c r="E53" s="4141"/>
      <c r="F53" s="4141"/>
      <c r="G53" s="4141"/>
      <c r="H53" s="4141"/>
      <c r="I53" s="4141"/>
      <c r="J53" s="4141"/>
    </row>
    <row r="54" spans="1:10" ht="12" customHeight="1">
      <c r="A54" s="461"/>
      <c r="B54" s="461"/>
      <c r="C54" s="461"/>
      <c r="D54" s="463" t="s">
        <v>3351</v>
      </c>
      <c r="E54" s="4142"/>
      <c r="F54" s="4142"/>
      <c r="G54" s="4142"/>
      <c r="H54" s="4142"/>
      <c r="I54" s="4142"/>
      <c r="J54" s="4142"/>
    </row>
    <row r="55" spans="1:10" ht="12" customHeight="1">
      <c r="A55" s="458" t="s">
        <v>3352</v>
      </c>
      <c r="G55" s="411"/>
      <c r="H55" s="411"/>
      <c r="I55" s="411"/>
    </row>
    <row r="56" spans="1:10" ht="18" customHeight="1">
      <c r="A56" s="314" t="s">
        <v>3353</v>
      </c>
      <c r="C56" s="459">
        <f>'Sensitivity Analysis'!C10</f>
        <v>0</v>
      </c>
      <c r="G56" s="411"/>
      <c r="I56" s="411"/>
    </row>
    <row r="57" spans="1:10" ht="3" customHeight="1">
      <c r="C57" s="459"/>
      <c r="G57" s="411"/>
      <c r="I57" s="411"/>
    </row>
    <row r="58" spans="1:10" ht="12" customHeight="1">
      <c r="A58" s="314" t="s">
        <v>3354</v>
      </c>
      <c r="C58" s="459">
        <f>'Sensitivity Analysis'!C11</f>
        <v>0</v>
      </c>
      <c r="E58" s="459">
        <f>'Sensitivity Analysis'!E11</f>
        <v>0</v>
      </c>
      <c r="G58" s="411"/>
      <c r="I58" s="411"/>
    </row>
    <row r="59" spans="1:10" ht="3" customHeight="1">
      <c r="C59" s="459"/>
      <c r="G59" s="411"/>
      <c r="I59" s="411"/>
    </row>
    <row r="60" spans="1:10" ht="12" customHeight="1">
      <c r="A60" s="314" t="s">
        <v>3355</v>
      </c>
      <c r="C60" s="459" t="s">
        <v>2174</v>
      </c>
      <c r="G60" s="411"/>
      <c r="I60" s="411"/>
    </row>
    <row r="61" spans="1:10" ht="6" customHeight="1">
      <c r="G61" s="411"/>
      <c r="H61" s="411"/>
      <c r="I61" s="411"/>
    </row>
    <row r="62" spans="1:10" ht="12" customHeight="1">
      <c r="A62" s="458" t="s">
        <v>3356</v>
      </c>
      <c r="G62" s="411"/>
      <c r="H62" s="411"/>
      <c r="I62" s="411"/>
    </row>
    <row r="63" spans="1:10" ht="12" customHeight="1">
      <c r="A63" s="314" t="s">
        <v>3357</v>
      </c>
      <c r="C63" s="314" t="s">
        <v>3358</v>
      </c>
      <c r="D63" s="745">
        <f>'Preview term'!F31</f>
        <v>12000000</v>
      </c>
      <c r="G63" s="411"/>
      <c r="I63" s="411"/>
    </row>
    <row r="64" spans="1:10" ht="3" customHeight="1">
      <c r="D64" s="464"/>
      <c r="G64" s="411"/>
      <c r="H64" s="465"/>
      <c r="I64" s="411"/>
    </row>
    <row r="65" spans="1:10" ht="12" customHeight="1">
      <c r="A65" s="314" t="s">
        <v>3359</v>
      </c>
      <c r="C65" s="314" t="s">
        <v>3360</v>
      </c>
      <c r="D65" s="459" t="s">
        <v>1767</v>
      </c>
      <c r="G65" s="411"/>
      <c r="I65" s="411"/>
    </row>
    <row r="66" spans="1:10" ht="3" customHeight="1">
      <c r="D66" s="464"/>
      <c r="G66" s="411"/>
      <c r="H66" s="411"/>
      <c r="I66" s="411"/>
    </row>
    <row r="67" spans="1:10" ht="12" customHeight="1">
      <c r="A67" s="314" t="s">
        <v>3361</v>
      </c>
      <c r="C67" s="746" t="s">
        <v>726</v>
      </c>
      <c r="D67" s="464"/>
      <c r="I67" s="411"/>
    </row>
    <row r="68" spans="1:10" ht="12" customHeight="1">
      <c r="C68" s="314" t="s">
        <v>3362</v>
      </c>
      <c r="D68" s="2624" t="s">
        <v>726</v>
      </c>
      <c r="I68" s="411"/>
    </row>
    <row r="69" spans="1:10" ht="12" customHeight="1">
      <c r="C69" s="314" t="s">
        <v>3322</v>
      </c>
      <c r="D69" s="4136"/>
      <c r="E69" s="4136"/>
      <c r="F69" s="4136"/>
      <c r="G69" s="4136"/>
      <c r="H69" s="4136"/>
      <c r="I69" s="4136"/>
      <c r="J69" s="4136"/>
    </row>
    <row r="70" spans="1:10" ht="3" customHeight="1">
      <c r="D70" s="464"/>
      <c r="E70" s="411"/>
      <c r="F70" s="411"/>
      <c r="I70" s="411"/>
    </row>
    <row r="71" spans="1:10" ht="12" customHeight="1">
      <c r="A71" s="314" t="s">
        <v>3363</v>
      </c>
      <c r="C71" s="314" t="s">
        <v>3277</v>
      </c>
      <c r="D71" s="470" t="s">
        <v>726</v>
      </c>
      <c r="I71" s="411"/>
    </row>
    <row r="72" spans="1:10" ht="3" customHeight="1">
      <c r="D72" s="411"/>
      <c r="E72" s="411"/>
      <c r="I72" s="411"/>
    </row>
    <row r="73" spans="1:10" ht="12" customHeight="1">
      <c r="A73" s="314" t="s">
        <v>3364</v>
      </c>
      <c r="C73" s="746" t="s">
        <v>726</v>
      </c>
      <c r="I73" s="411"/>
    </row>
    <row r="74" spans="1:10" ht="3" customHeight="1">
      <c r="C74" s="464"/>
      <c r="G74" s="411"/>
      <c r="H74" s="411"/>
      <c r="I74" s="411"/>
    </row>
    <row r="75" spans="1:10" ht="12" customHeight="1">
      <c r="A75" s="314" t="s">
        <v>3365</v>
      </c>
      <c r="C75" s="464" t="s">
        <v>3366</v>
      </c>
      <c r="D75" s="748">
        <v>0</v>
      </c>
      <c r="J75" s="411"/>
    </row>
    <row r="76" spans="1:10" ht="12" customHeight="1">
      <c r="C76" s="466" t="s">
        <v>3367</v>
      </c>
      <c r="D76" s="749">
        <v>0.01</v>
      </c>
      <c r="J76" s="411"/>
    </row>
    <row r="77" spans="1:10" ht="3" customHeight="1">
      <c r="C77" s="464"/>
      <c r="D77" s="464"/>
      <c r="G77" s="411"/>
      <c r="H77" s="411"/>
      <c r="I77" s="411"/>
    </row>
    <row r="78" spans="1:10" ht="12" customHeight="1">
      <c r="A78" s="314" t="s">
        <v>3368</v>
      </c>
      <c r="C78" s="464" t="s">
        <v>3369</v>
      </c>
      <c r="D78" s="468">
        <v>24</v>
      </c>
      <c r="I78" s="411"/>
    </row>
    <row r="79" spans="1:10" ht="3" customHeight="1">
      <c r="D79" s="464"/>
      <c r="E79" s="411"/>
      <c r="F79" s="411"/>
      <c r="I79" s="411"/>
    </row>
    <row r="80" spans="1:10" ht="12" customHeight="1">
      <c r="A80" s="314" t="s">
        <v>3370</v>
      </c>
      <c r="C80" s="314" t="s">
        <v>3277</v>
      </c>
      <c r="D80" s="468">
        <f>'Preview term'!F40</f>
        <v>480</v>
      </c>
      <c r="E80" s="411" t="s">
        <v>3371</v>
      </c>
      <c r="I80" s="411"/>
    </row>
    <row r="81" spans="1:9" ht="3" customHeight="1">
      <c r="D81" s="464"/>
      <c r="G81" s="411"/>
      <c r="H81" s="411"/>
      <c r="I81" s="411"/>
    </row>
    <row r="82" spans="1:9" ht="12" customHeight="1">
      <c r="A82" s="314" t="s">
        <v>3372</v>
      </c>
      <c r="D82" s="747">
        <v>0</v>
      </c>
      <c r="E82" s="469">
        <f>D82*12</f>
        <v>0</v>
      </c>
      <c r="F82" s="411" t="s">
        <v>3373</v>
      </c>
    </row>
    <row r="83" spans="1:9" ht="3" customHeight="1">
      <c r="D83" s="459"/>
      <c r="E83" s="411"/>
      <c r="G83" s="411"/>
    </row>
    <row r="84" spans="1:9" ht="12" customHeight="1">
      <c r="A84" s="314" t="s">
        <v>3374</v>
      </c>
      <c r="D84" s="2624" t="s">
        <v>1767</v>
      </c>
      <c r="E84" s="411" t="s">
        <v>3375</v>
      </c>
      <c r="G84" s="411"/>
    </row>
    <row r="85" spans="1:9" ht="3" customHeight="1">
      <c r="G85" s="411"/>
      <c r="H85" s="411"/>
      <c r="I85" s="411"/>
    </row>
    <row r="86" spans="1:9" ht="12" customHeight="1">
      <c r="A86" s="314" t="s">
        <v>3376</v>
      </c>
      <c r="C86" s="1152">
        <f>'Subsidy Layering Memo'!L70</f>
        <v>2027890.2309035002</v>
      </c>
      <c r="D86" s="471" t="s">
        <v>3377</v>
      </c>
      <c r="I86" s="411"/>
    </row>
    <row r="87" spans="1:9" ht="3" customHeight="1">
      <c r="C87" s="411" t="s">
        <v>726</v>
      </c>
      <c r="D87" s="411"/>
      <c r="E87" s="411"/>
      <c r="I87" s="411"/>
    </row>
    <row r="88" spans="1:9" ht="12" customHeight="1">
      <c r="A88" s="314" t="s">
        <v>3378</v>
      </c>
      <c r="B88" s="472"/>
      <c r="C88" s="746" t="s">
        <v>726</v>
      </c>
      <c r="D88" s="751"/>
      <c r="I88" s="411"/>
    </row>
    <row r="89" spans="1:9" ht="3" customHeight="1">
      <c r="G89" s="411"/>
      <c r="H89" s="411"/>
      <c r="I89" s="411"/>
    </row>
    <row r="90" spans="1:9" ht="12" customHeight="1">
      <c r="A90" s="314" t="s">
        <v>3379</v>
      </c>
      <c r="C90" s="464" t="s">
        <v>3380</v>
      </c>
      <c r="D90" s="459" t="s">
        <v>3288</v>
      </c>
      <c r="I90" s="411"/>
    </row>
    <row r="91" spans="1:9" ht="12" customHeight="1">
      <c r="C91" s="464" t="s">
        <v>3381</v>
      </c>
      <c r="D91" s="459" t="s">
        <v>1767</v>
      </c>
      <c r="I91" s="411"/>
    </row>
    <row r="92" spans="1:9" ht="3" customHeight="1">
      <c r="G92" s="411"/>
      <c r="H92" s="411"/>
      <c r="I92" s="411"/>
    </row>
    <row r="93" spans="1:9" ht="12" customHeight="1">
      <c r="A93" s="314" t="s">
        <v>3382</v>
      </c>
      <c r="C93" s="464" t="s">
        <v>3366</v>
      </c>
      <c r="D93" s="411" t="s">
        <v>3383</v>
      </c>
      <c r="E93" s="464" t="str">
        <f>'Part II-Sources of Funds'!H22</f>
        <v>Churchill Stateside Group, LLC</v>
      </c>
      <c r="I93" s="411"/>
    </row>
    <row r="94" spans="1:9" ht="12" customHeight="1">
      <c r="C94" s="464"/>
      <c r="D94" s="411"/>
      <c r="E94" s="464" t="s">
        <v>37</v>
      </c>
      <c r="F94" s="4132"/>
      <c r="G94" s="4132"/>
      <c r="H94" s="4132"/>
      <c r="I94" s="411"/>
    </row>
    <row r="95" spans="1:9" ht="12" customHeight="1">
      <c r="C95" s="464"/>
      <c r="D95" s="411"/>
      <c r="E95" s="464" t="s">
        <v>3384</v>
      </c>
      <c r="F95" s="4143"/>
      <c r="G95" s="4143"/>
      <c r="H95" s="4143"/>
      <c r="I95" s="411"/>
    </row>
    <row r="96" spans="1:9" ht="12" customHeight="1">
      <c r="C96" s="464"/>
      <c r="D96" s="411"/>
      <c r="E96" s="464" t="s">
        <v>1894</v>
      </c>
      <c r="F96" s="4130"/>
      <c r="G96" s="4130"/>
      <c r="H96" s="4130"/>
      <c r="I96" s="411"/>
    </row>
    <row r="97" spans="1:10" ht="12" customHeight="1">
      <c r="B97" s="460"/>
      <c r="C97" s="466" t="s">
        <v>3367</v>
      </c>
      <c r="D97" s="411" t="s">
        <v>3383</v>
      </c>
      <c r="E97" s="464" t="str">
        <f>'Part II-Sources of Funds'!E40</f>
        <v>Churchill Stateside Group, LLC</v>
      </c>
      <c r="I97" s="411"/>
    </row>
    <row r="98" spans="1:10" ht="12" customHeight="1">
      <c r="C98" s="464"/>
      <c r="D98" s="411"/>
      <c r="E98" s="464" t="s">
        <v>37</v>
      </c>
      <c r="F98" s="4132"/>
      <c r="G98" s="4132"/>
      <c r="H98" s="4132"/>
      <c r="I98" s="411"/>
    </row>
    <row r="99" spans="1:10" ht="12" customHeight="1">
      <c r="C99" s="464"/>
      <c r="D99" s="411"/>
      <c r="E99" s="464" t="s">
        <v>3384</v>
      </c>
      <c r="F99" s="4143"/>
      <c r="G99" s="4143"/>
      <c r="H99" s="4143"/>
      <c r="I99" s="411"/>
    </row>
    <row r="100" spans="1:10" ht="12" customHeight="1">
      <c r="C100" s="464"/>
      <c r="D100" s="411"/>
      <c r="E100" s="464" t="s">
        <v>1894</v>
      </c>
      <c r="F100" s="4130"/>
      <c r="G100" s="4130"/>
      <c r="H100" s="4130"/>
      <c r="I100" s="411"/>
    </row>
    <row r="101" spans="1:10" ht="3" customHeight="1">
      <c r="D101" s="473"/>
      <c r="G101" s="411"/>
      <c r="H101" s="411"/>
      <c r="I101" s="411"/>
    </row>
    <row r="102" spans="1:10" ht="12" customHeight="1">
      <c r="A102" s="314" t="s">
        <v>3385</v>
      </c>
      <c r="D102" s="2624">
        <f>'Part VIII Scoring Criteria OLD'!O265</f>
        <v>0</v>
      </c>
      <c r="E102" s="411" t="s">
        <v>1485</v>
      </c>
      <c r="G102" s="314">
        <f>'Part VIII Scoring Criteria OLD'!O261</f>
        <v>0</v>
      </c>
      <c r="H102" s="314" t="s">
        <v>3386</v>
      </c>
      <c r="I102" s="411"/>
    </row>
    <row r="103" spans="1:10" ht="3" customHeight="1">
      <c r="E103" s="411"/>
      <c r="F103" s="411"/>
      <c r="I103" s="411"/>
    </row>
    <row r="104" spans="1:10" ht="12" customHeight="1">
      <c r="A104" s="411" t="s">
        <v>3387</v>
      </c>
      <c r="D104" s="314" t="s">
        <v>1767</v>
      </c>
      <c r="E104" s="411"/>
      <c r="I104" s="411"/>
    </row>
    <row r="105" spans="1:10" ht="6" customHeight="1">
      <c r="G105" s="411"/>
      <c r="H105" s="411"/>
      <c r="I105" s="411"/>
    </row>
    <row r="106" spans="1:10" ht="12" customHeight="1">
      <c r="A106" s="458" t="s">
        <v>3388</v>
      </c>
      <c r="I106" s="411"/>
    </row>
    <row r="107" spans="1:10" ht="12" customHeight="1">
      <c r="A107" s="314" t="s">
        <v>3389</v>
      </c>
      <c r="C107" s="750" t="s">
        <v>726</v>
      </c>
      <c r="D107" s="4144"/>
      <c r="E107" s="4144"/>
      <c r="F107" s="4144"/>
      <c r="G107" s="4144"/>
      <c r="H107" s="4144"/>
      <c r="I107" s="4144"/>
      <c r="J107" s="4145"/>
    </row>
    <row r="108" spans="1:10" ht="3" customHeight="1">
      <c r="C108" s="464"/>
      <c r="D108" s="411"/>
      <c r="I108" s="411"/>
    </row>
    <row r="109" spans="1:10" ht="12" customHeight="1">
      <c r="A109" s="314" t="s">
        <v>3390</v>
      </c>
      <c r="C109" s="2624" t="s">
        <v>726</v>
      </c>
    </row>
    <row r="110" spans="1:10" ht="3" customHeight="1">
      <c r="C110" s="464"/>
      <c r="E110" s="411"/>
      <c r="F110" s="411"/>
      <c r="I110" s="411"/>
    </row>
    <row r="111" spans="1:10" ht="12" customHeight="1">
      <c r="A111" s="314" t="s">
        <v>3391</v>
      </c>
      <c r="C111" s="2624" t="s">
        <v>726</v>
      </c>
      <c r="I111" s="411"/>
    </row>
    <row r="112" spans="1:10" ht="3" customHeight="1">
      <c r="D112" s="2623"/>
      <c r="I112" s="411"/>
    </row>
    <row r="113" spans="1:10" ht="12" customHeight="1">
      <c r="A113" s="314" t="s">
        <v>3392</v>
      </c>
      <c r="D113" s="468">
        <v>24</v>
      </c>
      <c r="E113" s="411" t="s">
        <v>3393</v>
      </c>
      <c r="I113" s="411"/>
    </row>
    <row r="114" spans="1:10" ht="12" customHeight="1">
      <c r="C114" s="459" t="s">
        <v>3394</v>
      </c>
      <c r="I114" s="411"/>
    </row>
    <row r="115" spans="1:10" ht="12" customHeight="1">
      <c r="C115" s="459" t="s">
        <v>3395</v>
      </c>
      <c r="G115" s="411"/>
      <c r="I115" s="411"/>
    </row>
    <row r="116" spans="1:10" ht="3" customHeight="1">
      <c r="G116" s="411"/>
      <c r="H116" s="411"/>
      <c r="I116" s="411"/>
    </row>
    <row r="117" spans="1:10" ht="12" customHeight="1">
      <c r="A117" s="314" t="s">
        <v>3396</v>
      </c>
      <c r="D117" s="474">
        <v>0</v>
      </c>
      <c r="E117" s="475" t="s">
        <v>3397</v>
      </c>
      <c r="I117" s="411"/>
    </row>
    <row r="118" spans="1:10" ht="3" customHeight="1">
      <c r="D118" s="464"/>
      <c r="E118" s="411"/>
      <c r="F118" s="411"/>
      <c r="I118" s="411"/>
    </row>
    <row r="119" spans="1:10" ht="12" customHeight="1">
      <c r="A119" s="314" t="s">
        <v>3398</v>
      </c>
      <c r="C119" s="746" t="s">
        <v>726</v>
      </c>
      <c r="D119" s="464"/>
      <c r="I119" s="411"/>
    </row>
    <row r="120" spans="1:10" ht="12" customHeight="1">
      <c r="C120" s="411" t="s">
        <v>3399</v>
      </c>
      <c r="D120" s="467"/>
      <c r="E120" s="4135" t="s">
        <v>3400</v>
      </c>
      <c r="F120" s="4135"/>
      <c r="G120" s="4135"/>
      <c r="H120" s="4135"/>
      <c r="I120" s="4135"/>
      <c r="J120" s="4135"/>
    </row>
    <row r="121" spans="1:10" ht="12" customHeight="1">
      <c r="C121" s="411" t="s">
        <v>3401</v>
      </c>
      <c r="D121" s="752"/>
      <c r="E121" s="4135"/>
      <c r="F121" s="4135"/>
      <c r="G121" s="4135"/>
      <c r="H121" s="4135"/>
      <c r="I121" s="4135"/>
      <c r="J121" s="4135"/>
    </row>
    <row r="122" spans="1:10" ht="12" customHeight="1">
      <c r="C122" s="411" t="s">
        <v>3402</v>
      </c>
      <c r="D122" s="752"/>
      <c r="E122" s="4135"/>
      <c r="F122" s="4135"/>
      <c r="G122" s="4135"/>
      <c r="H122" s="4135"/>
      <c r="I122" s="4135"/>
      <c r="J122" s="4135"/>
    </row>
    <row r="123" spans="1:10" ht="12" customHeight="1">
      <c r="C123" s="411" t="s">
        <v>3402</v>
      </c>
      <c r="D123" s="752"/>
      <c r="E123" s="4135"/>
      <c r="F123" s="4135"/>
      <c r="G123" s="4135"/>
      <c r="H123" s="4135"/>
      <c r="I123" s="4135"/>
      <c r="J123" s="4135"/>
    </row>
    <row r="124" spans="1:10" ht="3" customHeight="1">
      <c r="E124" s="411"/>
      <c r="F124" s="411"/>
      <c r="I124" s="411"/>
    </row>
    <row r="125" spans="1:10" ht="12" customHeight="1">
      <c r="A125" s="314" t="s">
        <v>3403</v>
      </c>
      <c r="D125" s="469" t="s">
        <v>1485</v>
      </c>
      <c r="I125" s="411"/>
    </row>
    <row r="126" spans="1:10" ht="3" customHeight="1">
      <c r="D126" s="411"/>
      <c r="I126" s="411"/>
    </row>
    <row r="127" spans="1:10" ht="12" customHeight="1">
      <c r="A127" s="314" t="s">
        <v>3404</v>
      </c>
      <c r="D127" s="411" t="s">
        <v>1485</v>
      </c>
      <c r="I127" s="411"/>
    </row>
    <row r="128" spans="1:10" ht="3" customHeight="1">
      <c r="G128" s="411"/>
      <c r="H128" s="411"/>
      <c r="I128" s="411"/>
    </row>
    <row r="129" spans="1:10" ht="12" customHeight="1">
      <c r="A129" s="314" t="s">
        <v>3405</v>
      </c>
      <c r="D129" s="411" t="s">
        <v>3406</v>
      </c>
      <c r="G129" s="411"/>
      <c r="I129" s="411"/>
    </row>
    <row r="130" spans="1:10" ht="7.5" customHeight="1">
      <c r="G130" s="411"/>
      <c r="H130" s="411"/>
      <c r="I130" s="411"/>
    </row>
    <row r="131" spans="1:10" ht="12" customHeight="1">
      <c r="A131" s="458" t="s">
        <v>3407</v>
      </c>
      <c r="G131" s="411"/>
      <c r="H131" s="411"/>
      <c r="I131" s="411"/>
    </row>
    <row r="132" spans="1:10" ht="12" customHeight="1">
      <c r="A132" s="314" t="s">
        <v>3408</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3409</v>
      </c>
      <c r="C135" s="476">
        <f>('Part III-A-Uses of Funds'!G127-'Part II-Sources of Funds'!I45)/2</f>
        <v>627767.5</v>
      </c>
      <c r="G135" s="411"/>
      <c r="I135" s="411"/>
    </row>
    <row r="136" spans="1:10" ht="3" customHeight="1">
      <c r="C136" s="411"/>
      <c r="G136" s="411"/>
      <c r="I136" s="411"/>
    </row>
    <row r="137" spans="1:10" ht="12" customHeight="1">
      <c r="A137" s="314" t="s">
        <v>3410</v>
      </c>
      <c r="C137" s="2624" t="s">
        <v>1774</v>
      </c>
      <c r="G137" s="411"/>
      <c r="I137" s="411"/>
    </row>
    <row r="138" spans="1:10" ht="3" customHeight="1">
      <c r="C138" s="459"/>
      <c r="G138" s="411"/>
      <c r="I138" s="411"/>
    </row>
    <row r="139" spans="1:10" ht="12" customHeight="1">
      <c r="A139" s="314" t="s">
        <v>3411</v>
      </c>
      <c r="C139" s="459">
        <f>'Preview term'!E20</f>
        <v>0</v>
      </c>
      <c r="G139" s="411"/>
      <c r="I139" s="411"/>
      <c r="J139" s="477"/>
    </row>
    <row r="140" spans="1:10" ht="3" customHeight="1">
      <c r="C140" s="459"/>
      <c r="G140" s="411"/>
      <c r="I140" s="411"/>
    </row>
    <row r="141" spans="1:10" ht="12" customHeight="1">
      <c r="A141" s="314" t="s">
        <v>3412</v>
      </c>
      <c r="C141" s="459">
        <f>C8</f>
        <v>0</v>
      </c>
      <c r="G141" s="411"/>
      <c r="I141" s="411"/>
    </row>
    <row r="142" spans="1:10" ht="3" customHeight="1">
      <c r="C142" s="459"/>
      <c r="G142" s="411"/>
      <c r="I142" s="411"/>
    </row>
    <row r="143" spans="1:10" ht="12" customHeight="1">
      <c r="A143" s="314" t="s">
        <v>3413</v>
      </c>
      <c r="C143" s="459">
        <f>C18</f>
        <v>0</v>
      </c>
      <c r="G143" s="411"/>
      <c r="I143" s="411"/>
    </row>
    <row r="144" spans="1:10">
      <c r="C144" s="459">
        <f>C19</f>
        <v>0</v>
      </c>
      <c r="G144" s="411"/>
      <c r="I144" s="411"/>
    </row>
    <row r="145" spans="1:10" ht="3" customHeight="1">
      <c r="C145" s="411"/>
      <c r="G145" s="411"/>
      <c r="I145" s="411"/>
    </row>
    <row r="146" spans="1:10" ht="12" customHeight="1">
      <c r="A146" s="314" t="s">
        <v>3414</v>
      </c>
      <c r="C146" s="459">
        <f>'Sensitivity Analysis'!H10</f>
        <v>0</v>
      </c>
      <c r="G146" s="411"/>
      <c r="I146" s="411"/>
      <c r="J146" s="477"/>
    </row>
    <row r="147" spans="1:10" ht="3" customHeight="1">
      <c r="C147" s="459"/>
      <c r="G147" s="411"/>
      <c r="I147" s="411"/>
    </row>
    <row r="148" spans="1:10" ht="12" customHeight="1">
      <c r="A148" s="314" t="s">
        <v>3415</v>
      </c>
      <c r="C148" s="459">
        <f>'Sensitivity Analysis'!K10</f>
        <v>0</v>
      </c>
      <c r="G148" s="411"/>
      <c r="I148" s="411"/>
      <c r="J148" s="477"/>
    </row>
    <row r="149" spans="1:10" ht="3" customHeight="1">
      <c r="C149" s="411"/>
      <c r="G149" s="411"/>
      <c r="I149" s="411"/>
    </row>
    <row r="150" spans="1:10" ht="12" customHeight="1">
      <c r="A150" s="314" t="s">
        <v>3416</v>
      </c>
      <c r="C150" s="411" t="s">
        <v>1485</v>
      </c>
      <c r="G150" s="411"/>
      <c r="I150" s="411"/>
    </row>
    <row r="151" spans="1:10" ht="3" customHeight="1">
      <c r="C151" s="411"/>
      <c r="G151" s="411"/>
      <c r="I151" s="411"/>
    </row>
    <row r="152" spans="1:10" ht="12" customHeight="1">
      <c r="A152" s="314" t="s">
        <v>3417</v>
      </c>
      <c r="C152" s="411" t="s">
        <v>1485</v>
      </c>
      <c r="G152" s="411"/>
      <c r="I152" s="411"/>
    </row>
    <row r="153" spans="1:10" ht="7.5" customHeight="1">
      <c r="G153" s="411"/>
      <c r="H153" s="411"/>
      <c r="I153" s="411"/>
    </row>
    <row r="154" spans="1:10" ht="12" customHeight="1">
      <c r="A154" s="458" t="s">
        <v>3418</v>
      </c>
      <c r="G154" s="411"/>
      <c r="H154" s="411"/>
      <c r="I154" s="411"/>
    </row>
    <row r="155" spans="1:10" ht="3" customHeight="1">
      <c r="D155" s="411"/>
      <c r="E155" s="411"/>
      <c r="G155" s="411"/>
    </row>
    <row r="156" spans="1:10" ht="12" customHeight="1">
      <c r="A156" s="314" t="s">
        <v>3419</v>
      </c>
      <c r="C156" s="411" t="s">
        <v>3420</v>
      </c>
      <c r="D156" s="411"/>
      <c r="G156" s="411"/>
      <c r="H156" s="411"/>
      <c r="I156" s="411"/>
    </row>
    <row r="157" spans="1:10" ht="3" customHeight="1">
      <c r="D157" s="411"/>
      <c r="E157" s="411"/>
      <c r="G157" s="411"/>
    </row>
    <row r="158" spans="1:10" ht="12" customHeight="1">
      <c r="A158" s="314" t="s">
        <v>3421</v>
      </c>
      <c r="D158" s="2624">
        <v>20</v>
      </c>
      <c r="E158" s="411" t="s">
        <v>3277</v>
      </c>
    </row>
    <row r="159" spans="1:10" ht="3" customHeight="1">
      <c r="D159" s="411"/>
      <c r="E159" s="411"/>
      <c r="G159" s="411"/>
    </row>
    <row r="160" spans="1:10" ht="12" customHeight="1">
      <c r="A160" s="314" t="s">
        <v>3422</v>
      </c>
      <c r="C160" s="746" t="str">
        <f>'Part V-Revenues &amp; Expenses'!$G$6</f>
        <v>&lt;Select&gt;</v>
      </c>
      <c r="D160" s="411" t="s">
        <v>3423</v>
      </c>
      <c r="G160" s="411"/>
    </row>
    <row r="161" spans="1:9" ht="3" customHeight="1">
      <c r="G161" s="411"/>
      <c r="H161" s="411"/>
      <c r="I161" s="411"/>
    </row>
    <row r="162" spans="1:9" ht="12" customHeight="1">
      <c r="A162" s="314" t="s">
        <v>3424</v>
      </c>
      <c r="G162" s="411"/>
      <c r="H162" s="411"/>
      <c r="I162" s="411"/>
    </row>
    <row r="163" spans="1:9" ht="7.5" customHeight="1">
      <c r="G163" s="411"/>
      <c r="H163" s="411"/>
      <c r="I163" s="411"/>
    </row>
    <row r="164" spans="1:9" ht="12" customHeight="1">
      <c r="A164" s="458" t="s">
        <v>3425</v>
      </c>
      <c r="G164" s="411"/>
      <c r="H164" s="411"/>
      <c r="I164" s="411"/>
    </row>
    <row r="165" spans="1:9" ht="12" customHeight="1">
      <c r="A165" s="314" t="s">
        <v>3426</v>
      </c>
      <c r="C165" s="314" t="s">
        <v>3427</v>
      </c>
      <c r="E165" s="470">
        <f>'Preview term'!F80</f>
        <v>0</v>
      </c>
      <c r="G165" s="411"/>
      <c r="I165" s="411"/>
    </row>
    <row r="166" spans="1:9" ht="12" customHeight="1">
      <c r="C166" s="314" t="s">
        <v>3428</v>
      </c>
      <c r="E166" s="4136"/>
      <c r="F166" s="4136"/>
      <c r="G166" s="4136"/>
      <c r="I166" s="411"/>
    </row>
    <row r="167" spans="1:9" ht="3" customHeight="1">
      <c r="E167" s="411"/>
      <c r="G167" s="411"/>
      <c r="I167" s="411"/>
    </row>
    <row r="168" spans="1:9" ht="12" customHeight="1">
      <c r="A168" s="314" t="s">
        <v>3429</v>
      </c>
      <c r="C168" s="314" t="s">
        <v>3430</v>
      </c>
      <c r="E168" s="476">
        <f>'Preview term'!F74</f>
        <v>245665</v>
      </c>
      <c r="G168" s="411"/>
      <c r="I168" s="411"/>
    </row>
    <row r="169" spans="1:9" ht="12" customHeight="1">
      <c r="C169" s="314" t="s">
        <v>3428</v>
      </c>
      <c r="E169" s="4136"/>
      <c r="F169" s="4136"/>
      <c r="G169" s="4136"/>
      <c r="I169" s="411"/>
    </row>
    <row r="170" spans="1:9" ht="12" customHeight="1">
      <c r="C170" s="314" t="s">
        <v>3431</v>
      </c>
      <c r="E170" s="459" t="s">
        <v>2174</v>
      </c>
      <c r="G170" s="411"/>
      <c r="I170" s="411"/>
    </row>
    <row r="171" spans="1:9" ht="3" customHeight="1">
      <c r="E171" s="459"/>
      <c r="G171" s="411"/>
      <c r="I171" s="411"/>
    </row>
    <row r="172" spans="1:9" ht="12" customHeight="1">
      <c r="A172" s="314" t="s">
        <v>3432</v>
      </c>
      <c r="C172" s="314" t="s">
        <v>3433</v>
      </c>
      <c r="E172" s="476">
        <f>'Preview term'!F76</f>
        <v>0</v>
      </c>
      <c r="G172" s="411"/>
      <c r="I172" s="411"/>
    </row>
    <row r="173" spans="1:9" ht="12" customHeight="1">
      <c r="C173" s="314" t="s">
        <v>3434</v>
      </c>
      <c r="E173" s="476">
        <f>'Preview term'!F76</f>
        <v>0</v>
      </c>
      <c r="G173" s="411"/>
      <c r="I173" s="411"/>
    </row>
    <row r="174" spans="1:9" ht="12" customHeight="1">
      <c r="C174" s="314" t="s">
        <v>3435</v>
      </c>
      <c r="E174" s="476">
        <f>'Part V-Revenues &amp; Expenses'!Q238</f>
        <v>18000</v>
      </c>
      <c r="F174" s="411" t="s">
        <v>3436</v>
      </c>
    </row>
    <row r="175" spans="1:9">
      <c r="E175" s="476">
        <f>E174/12</f>
        <v>1500</v>
      </c>
      <c r="F175" s="411" t="s">
        <v>3258</v>
      </c>
    </row>
    <row r="176" spans="1:9" ht="12" customHeight="1">
      <c r="C176" s="314" t="s">
        <v>3437</v>
      </c>
      <c r="E176" s="4136"/>
      <c r="F176" s="4136"/>
      <c r="G176" s="4136"/>
      <c r="I176" s="411"/>
    </row>
    <row r="177" spans="1:10" ht="12" customHeight="1">
      <c r="C177" s="314" t="s">
        <v>3438</v>
      </c>
      <c r="E177" s="411" t="s">
        <v>67</v>
      </c>
      <c r="I177" s="411"/>
    </row>
    <row r="178" spans="1:10" ht="12" customHeight="1">
      <c r="C178" s="314" t="s">
        <v>3439</v>
      </c>
      <c r="E178" s="411" t="s">
        <v>2174</v>
      </c>
      <c r="I178" s="411"/>
    </row>
    <row r="179" spans="1:10" ht="3" customHeight="1">
      <c r="E179" s="411"/>
      <c r="F179" s="411"/>
      <c r="I179" s="411"/>
    </row>
    <row r="180" spans="1:10" ht="12" customHeight="1">
      <c r="A180" s="314" t="s">
        <v>3440</v>
      </c>
      <c r="C180" s="314" t="s">
        <v>3441</v>
      </c>
      <c r="E180" s="470" t="s">
        <v>726</v>
      </c>
      <c r="I180" s="411"/>
    </row>
    <row r="181" spans="1:10" ht="12" customHeight="1">
      <c r="C181" s="314" t="s">
        <v>3442</v>
      </c>
      <c r="E181" s="470" t="s">
        <v>726</v>
      </c>
      <c r="F181" s="4136"/>
      <c r="G181" s="4136"/>
      <c r="H181" s="4136"/>
      <c r="I181" s="4136"/>
      <c r="J181" s="4136"/>
    </row>
    <row r="182" spans="1:10" ht="12" customHeight="1">
      <c r="C182" s="314" t="s">
        <v>3443</v>
      </c>
      <c r="E182" s="411" t="s">
        <v>1485</v>
      </c>
      <c r="I182" s="411"/>
    </row>
    <row r="183" spans="1:10" ht="12" customHeight="1">
      <c r="C183" s="314" t="s">
        <v>3444</v>
      </c>
      <c r="E183" s="411" t="s">
        <v>2174</v>
      </c>
      <c r="I183" s="411"/>
    </row>
    <row r="184" spans="1:10" ht="3" customHeight="1">
      <c r="G184" s="411"/>
      <c r="H184" s="411"/>
      <c r="I184" s="411"/>
    </row>
    <row r="185" spans="1:10" ht="12" customHeight="1">
      <c r="A185" s="314" t="s">
        <v>3445</v>
      </c>
      <c r="C185" s="314" t="s">
        <v>3446</v>
      </c>
      <c r="E185" s="476">
        <f>'Preview term'!F78</f>
        <v>75666</v>
      </c>
      <c r="G185" s="411"/>
      <c r="I185" s="411"/>
    </row>
    <row r="186" spans="1:10" ht="12" customHeight="1">
      <c r="C186" s="314" t="s">
        <v>3428</v>
      </c>
      <c r="E186" s="459">
        <f>E169</f>
        <v>0</v>
      </c>
      <c r="G186" s="411"/>
      <c r="I186" s="411"/>
    </row>
    <row r="187" spans="1:10" ht="12" customHeight="1">
      <c r="C187" s="314" t="s">
        <v>3447</v>
      </c>
      <c r="E187" s="459" t="s">
        <v>1485</v>
      </c>
      <c r="G187" s="411"/>
      <c r="I187" s="411"/>
    </row>
    <row r="188" spans="1:10" ht="3" customHeight="1">
      <c r="E188" s="459"/>
      <c r="G188" s="411"/>
      <c r="I188" s="411"/>
    </row>
    <row r="189" spans="1:10" ht="12" customHeight="1">
      <c r="A189" s="314" t="s">
        <v>3448</v>
      </c>
      <c r="C189" s="314" t="s">
        <v>3449</v>
      </c>
      <c r="E189" s="459" t="s">
        <v>1485</v>
      </c>
      <c r="G189" s="411"/>
      <c r="I189" s="411"/>
    </row>
    <row r="190" spans="1:10" ht="12" customHeight="1">
      <c r="C190" s="314" t="s">
        <v>3430</v>
      </c>
      <c r="E190" s="464"/>
      <c r="G190" s="411"/>
      <c r="H190" s="469"/>
      <c r="I190" s="411"/>
    </row>
    <row r="191" spans="1:10" ht="12" customHeight="1">
      <c r="C191" s="314" t="s">
        <v>3428</v>
      </c>
      <c r="E191" s="464"/>
      <c r="I191" s="459"/>
    </row>
    <row r="192" spans="1:10" ht="12" customHeight="1">
      <c r="C192" s="314" t="s">
        <v>3431</v>
      </c>
      <c r="E192" s="464"/>
      <c r="G192" s="411"/>
      <c r="H192" s="411"/>
      <c r="I192" s="411"/>
    </row>
    <row r="193" spans="1:10" ht="9" customHeight="1">
      <c r="G193" s="411"/>
      <c r="H193" s="411"/>
      <c r="I193" s="411"/>
    </row>
    <row r="194" spans="1:10" ht="12" customHeight="1">
      <c r="A194" s="458" t="s">
        <v>3450</v>
      </c>
      <c r="C194" s="411" t="s">
        <v>3451</v>
      </c>
      <c r="E194" s="411"/>
      <c r="I194" s="411"/>
    </row>
    <row r="195" spans="1:10" ht="9" customHeight="1">
      <c r="E195" s="411"/>
      <c r="F195" s="411"/>
      <c r="I195" s="411"/>
    </row>
    <row r="196" spans="1:10" ht="12" customHeight="1">
      <c r="A196" s="458" t="s">
        <v>3452</v>
      </c>
      <c r="E196" s="411"/>
      <c r="F196" s="411"/>
      <c r="I196" s="411"/>
    </row>
    <row r="197" spans="1:10" ht="12" customHeight="1">
      <c r="A197" s="314" t="s">
        <v>3453</v>
      </c>
      <c r="C197" s="742" t="s">
        <v>726</v>
      </c>
      <c r="E197" s="411"/>
      <c r="F197" s="411"/>
      <c r="I197" s="411"/>
    </row>
    <row r="198" spans="1:10" ht="3" customHeight="1">
      <c r="G198" s="411"/>
      <c r="H198" s="411"/>
      <c r="I198" s="411"/>
    </row>
    <row r="199" spans="1:10">
      <c r="A199" s="461" t="s">
        <v>3454</v>
      </c>
      <c r="B199" s="461"/>
      <c r="C199" s="461"/>
      <c r="D199" s="461"/>
      <c r="E199" s="463" t="s">
        <v>3455</v>
      </c>
      <c r="F199" s="4134">
        <f>'Part VII-Threshold Criteria OLD'!E372</f>
        <v>0</v>
      </c>
      <c r="G199" s="4134"/>
      <c r="H199" s="4134"/>
      <c r="I199" s="4134"/>
      <c r="J199" s="4134"/>
    </row>
    <row r="200" spans="1:10" ht="9" customHeight="1">
      <c r="G200" s="411"/>
      <c r="H200" s="411"/>
      <c r="I200" s="411"/>
    </row>
    <row r="201" spans="1:10" ht="12" customHeight="1">
      <c r="A201" s="478" t="s">
        <v>3456</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4.1">
      <c r="A204" s="2616" t="s">
        <v>3040</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7"/>
      <c r="B213" s="2617"/>
      <c r="C213" s="2617"/>
      <c r="D213" s="2617"/>
      <c r="E213" s="2617"/>
      <c r="F213" s="2617"/>
      <c r="G213" s="2617"/>
      <c r="H213" s="2617"/>
      <c r="I213" s="2617"/>
      <c r="J213" s="2617"/>
    </row>
    <row r="214" spans="1:10" s="376" customFormat="1" ht="19.5" customHeight="1">
      <c r="A214" s="4097" t="s">
        <v>3042</v>
      </c>
      <c r="B214" s="4097"/>
      <c r="C214" s="4097"/>
      <c r="D214" s="2607"/>
      <c r="E214" s="2607"/>
      <c r="F214" s="2607"/>
      <c r="G214" s="2607"/>
      <c r="H214" s="2607"/>
      <c r="I214" s="2607"/>
      <c r="J214" s="2607"/>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4.1"/>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2337</v>
      </c>
      <c r="B1" s="1009"/>
      <c r="C1" s="1009"/>
      <c r="D1" s="1009"/>
      <c r="E1" s="1009"/>
      <c r="F1" s="1009"/>
      <c r="G1" s="1009"/>
      <c r="H1" s="1009"/>
    </row>
    <row r="2" spans="1:11" ht="18.95" thickBot="1">
      <c r="A2" s="1009" t="s">
        <v>2338</v>
      </c>
      <c r="B2" s="1009"/>
      <c r="C2" s="1009"/>
      <c r="D2" s="1009"/>
      <c r="E2" s="1009"/>
      <c r="F2" s="1009"/>
      <c r="G2" s="1009"/>
      <c r="H2" s="1009"/>
    </row>
    <row r="3" spans="1:11" ht="15" customHeight="1" thickBot="1">
      <c r="A3" s="973" t="s">
        <v>2339</v>
      </c>
      <c r="B3" s="4594"/>
      <c r="C3" s="4595"/>
      <c r="D3" s="3611" t="str">
        <f>'Part I-Project Identification'!F26</f>
        <v>Abbington Blue Ridge</v>
      </c>
      <c r="E3" s="3612"/>
      <c r="F3" s="3612"/>
      <c r="G3" s="3612"/>
      <c r="H3" s="3612"/>
      <c r="I3" s="3612"/>
      <c r="J3" s="4175" t="s">
        <v>3457</v>
      </c>
      <c r="K3" s="4176"/>
    </row>
    <row r="4" spans="1:11" ht="15" customHeight="1">
      <c r="A4" s="975" t="s">
        <v>2341</v>
      </c>
      <c r="B4" s="976"/>
      <c r="C4" s="977"/>
      <c r="D4" s="4171">
        <f>'Preview term'!$E$16</f>
        <v>0</v>
      </c>
      <c r="E4" s="4172"/>
      <c r="F4" s="4172"/>
      <c r="G4" s="4172"/>
      <c r="H4" s="4172"/>
      <c r="I4" s="4172"/>
      <c r="J4" s="3617" t="s">
        <v>2342</v>
      </c>
      <c r="K4" s="3618"/>
    </row>
    <row r="5" spans="1:11" ht="15" customHeight="1" thickBot="1">
      <c r="A5" s="978" t="s">
        <v>2343</v>
      </c>
      <c r="B5" s="979"/>
      <c r="C5" s="980"/>
      <c r="D5" s="4173"/>
      <c r="E5" s="4174"/>
      <c r="F5" s="4174"/>
      <c r="G5" s="4174"/>
      <c r="H5" s="4174"/>
      <c r="I5" s="4174"/>
      <c r="J5" s="3619"/>
      <c r="K5" s="3620"/>
    </row>
    <row r="6" spans="1:11" ht="9" customHeight="1" thickBot="1">
      <c r="E6" s="972"/>
    </row>
    <row r="7" spans="1:11">
      <c r="A7" s="3605" t="s">
        <v>2344</v>
      </c>
      <c r="B7" s="3606"/>
      <c r="C7" s="3606"/>
      <c r="D7" s="3606"/>
      <c r="E7" s="3606"/>
      <c r="F7" s="3606"/>
      <c r="G7" s="3606"/>
      <c r="H7" s="3606"/>
      <c r="I7" s="3606"/>
      <c r="J7" s="3606"/>
      <c r="K7" s="3607"/>
    </row>
    <row r="8" spans="1:11" ht="14.25" customHeight="1">
      <c r="A8" s="976"/>
      <c r="B8" s="976"/>
      <c r="C8" s="1000">
        <v>1</v>
      </c>
      <c r="D8" s="991" t="s">
        <v>2345</v>
      </c>
      <c r="E8" s="991"/>
      <c r="F8" s="991"/>
      <c r="G8" s="991"/>
      <c r="H8" s="991"/>
      <c r="I8" s="991"/>
      <c r="J8" s="4152"/>
      <c r="K8" s="4153"/>
    </row>
    <row r="9" spans="1:11" ht="7.35" customHeight="1">
      <c r="A9" s="3601"/>
      <c r="B9" s="3601"/>
      <c r="C9" s="3601"/>
      <c r="D9" s="3602"/>
      <c r="E9" s="3602"/>
      <c r="F9" s="3602"/>
      <c r="G9" s="3602"/>
      <c r="H9" s="3602"/>
      <c r="I9" s="3602"/>
      <c r="J9" s="3602"/>
      <c r="K9" s="992"/>
    </row>
    <row r="10" spans="1:11">
      <c r="A10" s="3627" t="s">
        <v>2346</v>
      </c>
      <c r="B10" s="3628"/>
      <c r="C10" s="3628"/>
      <c r="D10" s="3628"/>
      <c r="E10" s="3628"/>
      <c r="F10" s="3628"/>
      <c r="G10" s="3628"/>
      <c r="H10" s="3628"/>
      <c r="I10" s="3628"/>
      <c r="J10" s="3628"/>
      <c r="K10" s="3629"/>
    </row>
    <row r="11" spans="1:11" ht="14.25" customHeight="1">
      <c r="A11" s="976"/>
      <c r="B11" s="976"/>
      <c r="C11" s="1000">
        <v>2</v>
      </c>
      <c r="D11" s="991" t="s">
        <v>2347</v>
      </c>
      <c r="E11" s="993"/>
      <c r="F11" s="993"/>
      <c r="G11" s="993"/>
      <c r="H11" s="993"/>
      <c r="I11" s="993"/>
      <c r="J11" s="4150"/>
      <c r="K11" s="4151"/>
    </row>
    <row r="12" spans="1:11" ht="7.35" customHeight="1">
      <c r="A12" s="3601"/>
      <c r="B12" s="3601"/>
      <c r="C12" s="3601"/>
      <c r="D12" s="3602"/>
      <c r="E12" s="3602"/>
      <c r="F12" s="3602"/>
      <c r="G12" s="3602"/>
      <c r="H12" s="3602"/>
      <c r="I12" s="3602"/>
      <c r="J12" s="3602"/>
      <c r="K12" s="2568"/>
    </row>
    <row r="13" spans="1:11">
      <c r="A13" s="3627" t="s">
        <v>2348</v>
      </c>
      <c r="B13" s="3628"/>
      <c r="C13" s="3628"/>
      <c r="D13" s="3628"/>
      <c r="E13" s="3628"/>
      <c r="F13" s="3628"/>
      <c r="G13" s="3628"/>
      <c r="H13" s="3628"/>
      <c r="I13" s="3628"/>
      <c r="J13" s="3628"/>
      <c r="K13" s="3629"/>
    </row>
    <row r="14" spans="1:11" ht="14.25" customHeight="1">
      <c r="A14" s="976"/>
      <c r="B14" s="976"/>
      <c r="C14" s="1001">
        <v>3</v>
      </c>
      <c r="D14" s="4596" t="s">
        <v>2349</v>
      </c>
      <c r="E14" s="4596"/>
      <c r="F14" s="4596"/>
      <c r="G14" s="4596"/>
      <c r="H14" s="4596"/>
      <c r="I14" s="4596"/>
      <c r="J14" s="4148"/>
      <c r="K14" s="4149"/>
    </row>
    <row r="15" spans="1:11" ht="14.25" customHeight="1">
      <c r="A15" s="976"/>
      <c r="B15" s="976"/>
      <c r="C15" s="1002">
        <v>4</v>
      </c>
      <c r="D15" s="976" t="s">
        <v>2350</v>
      </c>
      <c r="E15" s="976"/>
      <c r="F15" s="976"/>
      <c r="G15" s="976"/>
      <c r="H15" s="976"/>
      <c r="I15" s="976"/>
      <c r="J15" s="4146"/>
      <c r="K15" s="4147"/>
    </row>
    <row r="16" spans="1:11" ht="14.25" customHeight="1">
      <c r="A16" s="976"/>
      <c r="B16" s="976"/>
      <c r="C16" s="1002">
        <v>5</v>
      </c>
      <c r="D16" s="976" t="s">
        <v>2351</v>
      </c>
      <c r="E16" s="976"/>
      <c r="F16" s="976"/>
      <c r="G16" s="976"/>
      <c r="H16" s="976"/>
      <c r="I16" s="976"/>
      <c r="J16" s="4146"/>
      <c r="K16" s="4147"/>
    </row>
    <row r="17" spans="1:13" ht="14.25" customHeight="1">
      <c r="A17" s="976"/>
      <c r="B17" s="976"/>
      <c r="C17" s="1003">
        <v>6</v>
      </c>
      <c r="D17" s="979" t="s">
        <v>2352</v>
      </c>
      <c r="E17" s="979"/>
      <c r="F17" s="979"/>
      <c r="G17" s="979"/>
      <c r="H17" s="979"/>
      <c r="I17" s="979"/>
      <c r="J17" s="4154"/>
      <c r="K17" s="4155"/>
    </row>
    <row r="18" spans="1:13" ht="7.35" customHeight="1">
      <c r="A18" s="3601"/>
      <c r="B18" s="3601"/>
      <c r="C18" s="3601"/>
      <c r="D18" s="3602"/>
      <c r="E18" s="3602"/>
      <c r="F18" s="3602"/>
      <c r="G18" s="3602"/>
      <c r="H18" s="3602"/>
      <c r="I18" s="3602"/>
      <c r="J18" s="3602"/>
      <c r="K18" s="2568"/>
    </row>
    <row r="19" spans="1:13" ht="14.25" customHeight="1">
      <c r="A19" s="976"/>
      <c r="B19" s="976"/>
      <c r="C19" s="1001">
        <v>7</v>
      </c>
      <c r="D19" s="4596" t="s">
        <v>2353</v>
      </c>
      <c r="E19" s="4596"/>
      <c r="F19" s="4596"/>
      <c r="G19" s="4596"/>
      <c r="H19" s="4596"/>
      <c r="I19" s="4596"/>
      <c r="J19" s="3623" t="str">
        <f>IF(J17="No",J14-J15,IF(J17="Yes",J14-J15-J16,"Error"))</f>
        <v>Error</v>
      </c>
      <c r="K19" s="3624"/>
    </row>
    <row r="20" spans="1:13" ht="14.25" customHeight="1">
      <c r="A20" s="976"/>
      <c r="B20" s="976"/>
      <c r="C20" s="1003">
        <v>8</v>
      </c>
      <c r="D20" s="979" t="s">
        <v>2354</v>
      </c>
      <c r="E20" s="979"/>
      <c r="F20" s="979"/>
      <c r="G20" s="979"/>
      <c r="H20" s="979"/>
      <c r="I20" s="979"/>
      <c r="J20" s="3603" t="e">
        <f>ROUNDDOWN(J19/J8,2)</f>
        <v>#VALUE!</v>
      </c>
      <c r="K20" s="3604"/>
    </row>
    <row r="21" spans="1:13" ht="7.35" customHeight="1">
      <c r="A21" s="3601"/>
      <c r="B21" s="3601"/>
      <c r="C21" s="3601"/>
      <c r="D21" s="3602"/>
      <c r="E21" s="3602"/>
      <c r="F21" s="3602"/>
      <c r="G21" s="3602"/>
      <c r="H21" s="3602"/>
      <c r="I21" s="3602"/>
      <c r="J21" s="3602"/>
      <c r="K21" s="2568"/>
    </row>
    <row r="22" spans="1:13" ht="14.25" customHeight="1" thickBot="1">
      <c r="A22" s="976"/>
      <c r="B22" s="976"/>
      <c r="C22" s="1000">
        <v>9</v>
      </c>
      <c r="D22" s="994" t="s">
        <v>2355</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2356</v>
      </c>
      <c r="C24" s="983"/>
      <c r="D24" s="983"/>
      <c r="E24" s="983"/>
      <c r="F24" s="983"/>
      <c r="G24" s="983"/>
      <c r="H24" s="983"/>
      <c r="I24" s="983"/>
      <c r="J24" s="983"/>
      <c r="K24" s="984"/>
    </row>
    <row r="25" spans="1:13" ht="14.25" customHeight="1">
      <c r="A25" s="1032" t="s">
        <v>2357</v>
      </c>
      <c r="C25" s="983"/>
      <c r="D25" s="983"/>
      <c r="E25" s="983"/>
      <c r="F25" s="983"/>
      <c r="G25" s="983"/>
      <c r="H25" s="983"/>
      <c r="I25" s="983"/>
      <c r="J25" s="983"/>
      <c r="K25" s="984"/>
    </row>
    <row r="26" spans="1:13" ht="14.25" customHeight="1">
      <c r="A26" s="1032" t="s">
        <v>2358</v>
      </c>
      <c r="C26" s="983"/>
      <c r="D26" s="983"/>
      <c r="E26" s="983"/>
      <c r="F26" s="983"/>
      <c r="G26" s="983"/>
      <c r="H26" s="983"/>
      <c r="I26" s="983"/>
      <c r="J26" s="983"/>
      <c r="K26" s="984"/>
    </row>
    <row r="27" spans="1:13" ht="14.25" customHeight="1">
      <c r="A27" s="1032" t="s">
        <v>2359</v>
      </c>
      <c r="C27" s="983"/>
      <c r="D27" s="983"/>
      <c r="E27" s="983"/>
      <c r="F27" s="983"/>
      <c r="G27" s="983"/>
      <c r="H27" s="983"/>
      <c r="I27" s="983"/>
      <c r="J27" s="983"/>
      <c r="K27" s="984"/>
    </row>
    <row r="28" spans="1:13" ht="14.25" customHeight="1">
      <c r="A28" s="1032" t="s">
        <v>2360</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2361</v>
      </c>
      <c r="B30" s="3590"/>
      <c r="C30" s="3590"/>
      <c r="D30" s="3590"/>
      <c r="E30" s="3590"/>
      <c r="F30" s="3590"/>
      <c r="G30" s="3590"/>
      <c r="H30" s="3590"/>
      <c r="I30" s="3590"/>
      <c r="J30" s="3590"/>
      <c r="K30" s="3591"/>
    </row>
    <row r="31" spans="1:13">
      <c r="B31" s="4160" t="s">
        <v>3457</v>
      </c>
      <c r="C31" s="4160"/>
      <c r="D31" s="4160"/>
      <c r="E31" s="4160"/>
      <c r="F31" s="4160"/>
      <c r="G31" s="3593" t="s">
        <v>2362</v>
      </c>
      <c r="H31" s="3594"/>
      <c r="I31" s="3594"/>
      <c r="J31" s="3594"/>
      <c r="K31" s="3595"/>
    </row>
    <row r="32" spans="1:13" ht="56.25" customHeight="1">
      <c r="A32" s="2572"/>
      <c r="B32" s="1004" t="s">
        <v>2363</v>
      </c>
      <c r="C32" s="1005" t="s">
        <v>2364</v>
      </c>
      <c r="D32" s="1005" t="s">
        <v>2365</v>
      </c>
      <c r="E32" s="3596" t="s">
        <v>2366</v>
      </c>
      <c r="F32" s="4597"/>
      <c r="G32" s="1006" t="s">
        <v>2367</v>
      </c>
      <c r="H32" s="1006" t="s">
        <v>2368</v>
      </c>
      <c r="J32" s="1006" t="s">
        <v>2369</v>
      </c>
      <c r="K32" s="1006" t="s">
        <v>2370</v>
      </c>
      <c r="L32" s="3582" t="s">
        <v>2371</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2372</v>
      </c>
      <c r="H52" s="1007" t="e">
        <f>SUM(H33:H51)</f>
        <v>#VALUE!</v>
      </c>
      <c r="I52" s="4596"/>
      <c r="J52" s="4598" t="s">
        <v>2373</v>
      </c>
      <c r="K52" s="995" t="e">
        <f>SUM(K33:K51)</f>
        <v>#VALUE!</v>
      </c>
      <c r="L52" s="3582"/>
      <c r="M52" s="3582"/>
    </row>
    <row r="53" spans="1:13" ht="15" customHeight="1">
      <c r="B53" s="2569"/>
      <c r="C53" s="3585" t="s">
        <v>2374</v>
      </c>
      <c r="D53" s="3585"/>
      <c r="E53" s="3585"/>
      <c r="F53" s="3585"/>
      <c r="G53" s="3585"/>
      <c r="H53" s="3585"/>
      <c r="I53" s="3585"/>
      <c r="J53" s="3586"/>
      <c r="K53" s="999" t="str">
        <f>IF(J17="no",0,IF(J17="yes",J16,"Error"))</f>
        <v>Error</v>
      </c>
      <c r="L53" s="3582"/>
      <c r="M53" s="3582"/>
    </row>
    <row r="54" spans="1:13" ht="15" customHeight="1" thickBot="1">
      <c r="B54" s="2569"/>
      <c r="C54" s="3568" t="s">
        <v>2375</v>
      </c>
      <c r="D54" s="3568"/>
      <c r="E54" s="3568"/>
      <c r="F54" s="3568"/>
      <c r="G54" s="3568"/>
      <c r="H54" s="3568"/>
      <c r="I54" s="3568"/>
      <c r="J54" s="3569"/>
      <c r="K54" s="1010" t="e">
        <f>K52+K53</f>
        <v>#VALUE!</v>
      </c>
    </row>
    <row r="55" spans="1:13" ht="8.1" customHeight="1">
      <c r="A55" s="3570"/>
      <c r="B55" s="3564"/>
      <c r="C55" s="3564"/>
      <c r="D55" s="3564"/>
      <c r="E55" s="3564"/>
      <c r="F55" s="3564"/>
      <c r="G55" s="3564"/>
      <c r="H55" s="3564"/>
      <c r="I55" s="3564"/>
      <c r="J55" s="3564"/>
      <c r="K55" s="1021"/>
    </row>
    <row r="56" spans="1:13" ht="15" customHeight="1">
      <c r="A56" s="3565" t="s">
        <v>2376</v>
      </c>
      <c r="B56" s="3566"/>
      <c r="C56" s="3566"/>
      <c r="D56" s="3566"/>
      <c r="E56" s="3566"/>
      <c r="F56" s="3566"/>
      <c r="G56" s="3566"/>
      <c r="H56" s="3566"/>
      <c r="I56" s="3566"/>
      <c r="J56" s="3566"/>
      <c r="K56" s="3567"/>
    </row>
    <row r="57" spans="1:13" ht="48" customHeight="1">
      <c r="A57" s="988"/>
      <c r="B57" s="4599"/>
      <c r="C57" s="990" t="s">
        <v>2377</v>
      </c>
      <c r="D57" s="1088" t="s">
        <v>2378</v>
      </c>
      <c r="E57" s="3571" t="s">
        <v>2379</v>
      </c>
      <c r="F57" s="3572"/>
      <c r="G57" s="4165" t="s">
        <v>2380</v>
      </c>
      <c r="H57" s="4166"/>
      <c r="I57" s="3571" t="s">
        <v>2381</v>
      </c>
      <c r="J57" s="3572"/>
      <c r="K57" s="4600"/>
    </row>
    <row r="58" spans="1:13" ht="15" customHeight="1">
      <c r="A58" s="2570"/>
      <c r="B58" s="1016"/>
      <c r="C58" s="996">
        <f>SUMIF(C33:C51, "0", H33:H51)</f>
        <v>0</v>
      </c>
      <c r="D58" s="1089">
        <f t="shared" ref="D58:D63" si="4">ROUNDUP(C58*1.1,0)</f>
        <v>0</v>
      </c>
      <c r="E58" s="3575" t="s">
        <v>2383</v>
      </c>
      <c r="F58" s="3576"/>
      <c r="G58" s="4167" t="e">
        <f>#REF!</f>
        <v>#REF!</v>
      </c>
      <c r="H58" s="4168"/>
      <c r="I58" s="3577" t="e">
        <f t="shared" ref="I58:I63" si="5">D58*G58</f>
        <v>#REF!</v>
      </c>
      <c r="J58" s="3577"/>
      <c r="K58" s="4601"/>
    </row>
    <row r="59" spans="1:13">
      <c r="A59" s="2570"/>
      <c r="B59" s="1016"/>
      <c r="C59" s="997">
        <f>SUMIF(C33:C51, "1", H33:H51)</f>
        <v>0</v>
      </c>
      <c r="D59" s="1090">
        <f t="shared" si="4"/>
        <v>0</v>
      </c>
      <c r="E59" s="3556" t="s">
        <v>2384</v>
      </c>
      <c r="F59" s="3557"/>
      <c r="G59" s="4163" t="e">
        <f>#REF!</f>
        <v>#REF!</v>
      </c>
      <c r="H59" s="4164"/>
      <c r="I59" s="3560" t="e">
        <f t="shared" si="5"/>
        <v>#REF!</v>
      </c>
      <c r="J59" s="3560"/>
      <c r="K59" s="4601"/>
    </row>
    <row r="60" spans="1:13" ht="15" customHeight="1">
      <c r="A60" s="2570"/>
      <c r="B60" s="1016"/>
      <c r="C60" s="997">
        <f>SUMIF(C33:C51, "2", H33:H51)</f>
        <v>0</v>
      </c>
      <c r="D60" s="1090">
        <f t="shared" si="4"/>
        <v>0</v>
      </c>
      <c r="E60" s="3556" t="s">
        <v>2385</v>
      </c>
      <c r="F60" s="3557"/>
      <c r="G60" s="4163" t="e">
        <f>#REF!</f>
        <v>#REF!</v>
      </c>
      <c r="H60" s="4164"/>
      <c r="I60" s="3560" t="e">
        <f t="shared" si="5"/>
        <v>#REF!</v>
      </c>
      <c r="J60" s="3560"/>
      <c r="K60" s="4601"/>
    </row>
    <row r="61" spans="1:13">
      <c r="A61" s="2570"/>
      <c r="B61" s="1016"/>
      <c r="C61" s="997">
        <f>SUMIF(C33:C51, "3", H33:H51)</f>
        <v>0</v>
      </c>
      <c r="D61" s="1090">
        <f t="shared" si="4"/>
        <v>0</v>
      </c>
      <c r="E61" s="3556" t="s">
        <v>2386</v>
      </c>
      <c r="F61" s="3557"/>
      <c r="G61" s="4163" t="e">
        <f>#REF!</f>
        <v>#REF!</v>
      </c>
      <c r="H61" s="4164"/>
      <c r="I61" s="3560" t="e">
        <f t="shared" si="5"/>
        <v>#REF!</v>
      </c>
      <c r="J61" s="3560"/>
      <c r="K61" s="4601"/>
    </row>
    <row r="62" spans="1:13">
      <c r="A62" s="2570"/>
      <c r="B62" s="1016"/>
      <c r="C62" s="997">
        <f>SUMIF(C33:C51, "4", H33:H51)</f>
        <v>0</v>
      </c>
      <c r="D62" s="1090">
        <f t="shared" si="4"/>
        <v>0</v>
      </c>
      <c r="E62" s="3556" t="s">
        <v>2387</v>
      </c>
      <c r="F62" s="3557"/>
      <c r="G62" s="4163" t="e">
        <f>#REF!</f>
        <v>#REF!</v>
      </c>
      <c r="H62" s="4164"/>
      <c r="I62" s="3560" t="e">
        <f t="shared" si="5"/>
        <v>#REF!</v>
      </c>
      <c r="J62" s="3560"/>
      <c r="K62" s="4601"/>
    </row>
    <row r="63" spans="1:13">
      <c r="A63" s="1087"/>
      <c r="B63" s="1017"/>
      <c r="C63" s="998">
        <f>SUMIF(C33:C51, "5", H33:H51)</f>
        <v>0</v>
      </c>
      <c r="D63" s="1091">
        <f t="shared" si="4"/>
        <v>0</v>
      </c>
      <c r="E63" s="3561" t="s">
        <v>2388</v>
      </c>
      <c r="F63" s="3562"/>
      <c r="G63" s="4161" t="e">
        <f>#REF!</f>
        <v>#REF!</v>
      </c>
      <c r="H63" s="4162"/>
      <c r="I63" s="3563" t="e">
        <f t="shared" si="5"/>
        <v>#REF!</v>
      </c>
      <c r="J63" s="3563"/>
      <c r="K63" s="1019"/>
    </row>
    <row r="64" spans="1:13" ht="15" thickBot="1">
      <c r="A64" s="1086" t="s">
        <v>2389</v>
      </c>
      <c r="B64" s="1012">
        <f>SUM(C58:C63)</f>
        <v>0</v>
      </c>
      <c r="C64" s="1092"/>
      <c r="D64" s="1092">
        <f>SUM(D58:D63)</f>
        <v>0</v>
      </c>
      <c r="E64" s="1085"/>
      <c r="F64" s="1085"/>
      <c r="G64" s="1085"/>
      <c r="H64" s="1085"/>
      <c r="I64" s="1085"/>
      <c r="J64" s="1079" t="s">
        <v>2390</v>
      </c>
      <c r="K64" s="1011" t="e">
        <f>SUM(I58:I62)</f>
        <v>#REF!</v>
      </c>
    </row>
    <row r="65" spans="1:11">
      <c r="A65" s="3564"/>
      <c r="B65" s="3564"/>
      <c r="C65" s="3564"/>
      <c r="D65" s="3564"/>
      <c r="E65" s="3564"/>
      <c r="F65" s="3564"/>
      <c r="G65" s="3564"/>
      <c r="H65" s="3564"/>
      <c r="I65" s="3564"/>
      <c r="J65" s="3564"/>
    </row>
    <row r="66" spans="1:11">
      <c r="A66" s="3565" t="s">
        <v>2391</v>
      </c>
      <c r="B66" s="3566"/>
      <c r="C66" s="3566"/>
      <c r="D66" s="3566"/>
      <c r="E66" s="3566"/>
      <c r="F66" s="3566"/>
      <c r="G66" s="3566"/>
      <c r="H66" s="3566"/>
      <c r="I66" s="3566"/>
      <c r="J66" s="3566"/>
      <c r="K66" s="3567"/>
    </row>
    <row r="67" spans="1:11" ht="15" customHeight="1">
      <c r="A67" s="1013"/>
      <c r="B67" s="4602"/>
      <c r="C67" s="4602"/>
      <c r="D67" s="4602"/>
      <c r="E67" s="4602" t="s">
        <v>2392</v>
      </c>
      <c r="F67" s="4602"/>
      <c r="G67" s="4602"/>
      <c r="H67" s="4602"/>
      <c r="I67" s="4602"/>
      <c r="J67" s="4599"/>
      <c r="K67" s="987">
        <f>J11</f>
        <v>0</v>
      </c>
    </row>
    <row r="68" spans="1:11">
      <c r="A68" s="1014"/>
      <c r="E68" s="972" t="s">
        <v>2393</v>
      </c>
      <c r="J68" s="1016"/>
      <c r="K68" s="987" t="e">
        <f>K54</f>
        <v>#VALUE!</v>
      </c>
    </row>
    <row r="69" spans="1:11" ht="15" thickBot="1">
      <c r="A69" s="1015"/>
      <c r="B69" s="981"/>
      <c r="C69" s="981"/>
      <c r="D69" s="981"/>
      <c r="E69" s="981" t="s">
        <v>2394</v>
      </c>
      <c r="F69" s="981"/>
      <c r="G69" s="981"/>
      <c r="H69" s="981"/>
      <c r="I69" s="981"/>
      <c r="J69" s="1017"/>
      <c r="K69" s="1020" t="e">
        <f>K64</f>
        <v>#REF!</v>
      </c>
    </row>
    <row r="70" spans="1:11" ht="15" thickBot="1">
      <c r="A70" s="989"/>
      <c r="B70" s="982"/>
      <c r="C70" s="3555" t="s">
        <v>2395</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95"/>
  <cols>
    <col min="1" max="1" width="3.42578125" style="314" customWidth="1"/>
    <col min="2" max="2" width="4.28515625" style="314" customWidth="1"/>
    <col min="3" max="3" width="18.42578125" style="314" customWidth="1"/>
    <col min="4" max="4" width="2.7109375" style="314" customWidth="1"/>
    <col min="5" max="5" width="6.42578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3458</v>
      </c>
      <c r="H1" s="460" t="str">
        <f>'Sensitivity Analysis'!C8</f>
        <v>Abbington Blue Ridge</v>
      </c>
    </row>
    <row r="2" spans="1:11">
      <c r="A2" s="411" t="s">
        <v>3459</v>
      </c>
      <c r="H2" s="314" t="str">
        <f>'Sensitivity Analysis'!E8</f>
        <v>2024-0</v>
      </c>
    </row>
    <row r="3" spans="1:11" ht="3" customHeight="1"/>
    <row r="4" spans="1:11" ht="51.75" customHeight="1">
      <c r="A4" s="4177" t="s">
        <v>3460</v>
      </c>
      <c r="B4" s="4177"/>
      <c r="C4" s="4177"/>
      <c r="D4" s="4177"/>
      <c r="E4" s="4177"/>
      <c r="F4" s="4177"/>
      <c r="G4" s="4177"/>
      <c r="H4" s="4177"/>
      <c r="J4" s="762">
        <f>SUM('Part VI-Pro Forma'!B15:B17)/12</f>
        <v>45722.52</v>
      </c>
      <c r="K4" s="761" t="s">
        <v>3461</v>
      </c>
    </row>
    <row r="5" spans="1:11" ht="1.5" customHeight="1"/>
    <row r="6" spans="1:11" ht="12.75" customHeight="1">
      <c r="B6" s="479" t="s">
        <v>2467</v>
      </c>
      <c r="C6" s="4177" t="s">
        <v>3462</v>
      </c>
      <c r="D6" s="4177"/>
      <c r="E6" s="4177"/>
      <c r="F6" s="4177"/>
      <c r="G6" s="4177"/>
      <c r="H6" s="4177"/>
    </row>
    <row r="7" spans="1:11" ht="12.75" customHeight="1">
      <c r="B7" s="479" t="s">
        <v>2469</v>
      </c>
      <c r="C7" s="4177" t="s">
        <v>3463</v>
      </c>
      <c r="D7" s="4177"/>
      <c r="E7" s="4177"/>
      <c r="F7" s="4177"/>
      <c r="G7" s="4177"/>
      <c r="H7" s="4177"/>
    </row>
    <row r="8" spans="1:11" ht="3" customHeight="1"/>
    <row r="9" spans="1:11">
      <c r="A9" s="314" t="s">
        <v>3464</v>
      </c>
    </row>
    <row r="10" spans="1:11" ht="1.5" customHeight="1"/>
    <row r="11" spans="1:11" ht="26.25" customHeight="1">
      <c r="A11" s="480" t="s">
        <v>199</v>
      </c>
      <c r="B11" s="4181" t="s">
        <v>3465</v>
      </c>
      <c r="C11" s="4181"/>
      <c r="D11" s="4181"/>
      <c r="E11" s="4181"/>
      <c r="F11" s="4181"/>
      <c r="G11" s="4182">
        <f>'Part II-Sources of Funds'!I51+'Part II-Sources of Funds'!I52</f>
        <v>15098182</v>
      </c>
      <c r="H11" s="4182"/>
    </row>
    <row r="12" spans="1:11" ht="1.5" customHeight="1">
      <c r="G12" s="461"/>
      <c r="H12" s="461"/>
    </row>
    <row r="13" spans="1:11" ht="26.25" customHeight="1">
      <c r="A13" s="480" t="s">
        <v>211</v>
      </c>
      <c r="B13" s="4181" t="s">
        <v>3466</v>
      </c>
      <c r="C13" s="4181"/>
      <c r="D13" s="4181"/>
      <c r="E13" s="4181"/>
      <c r="F13" s="4181"/>
      <c r="G13" s="4183" t="s">
        <v>1485</v>
      </c>
      <c r="H13" s="4183"/>
    </row>
    <row r="14" spans="1:11" ht="12" hidden="1" customHeight="1">
      <c r="A14" s="480"/>
      <c r="B14" s="4138"/>
      <c r="C14" s="4138"/>
      <c r="D14" s="4138"/>
      <c r="E14" s="4138"/>
      <c r="F14" s="4138"/>
      <c r="G14" s="4138"/>
      <c r="H14" s="4138"/>
    </row>
    <row r="15" spans="1:11" ht="1.5" customHeight="1"/>
    <row r="16" spans="1:11" ht="12" customHeight="1">
      <c r="A16" s="480" t="s">
        <v>232</v>
      </c>
      <c r="B16" s="314" t="s">
        <v>3467</v>
      </c>
      <c r="G16" s="4184" t="s">
        <v>57</v>
      </c>
      <c r="H16" s="4184"/>
    </row>
    <row r="17" spans="1:8" ht="1.5" customHeight="1">
      <c r="G17" s="464"/>
    </row>
    <row r="18" spans="1:8" ht="12" customHeight="1">
      <c r="A18" s="480" t="s">
        <v>234</v>
      </c>
      <c r="B18" s="461" t="s">
        <v>3468</v>
      </c>
      <c r="C18" s="480"/>
      <c r="D18" s="480"/>
      <c r="E18" s="480"/>
      <c r="G18" s="4138" t="s">
        <v>2174</v>
      </c>
      <c r="H18" s="4138"/>
    </row>
    <row r="19" spans="1:8" ht="12" hidden="1" customHeight="1">
      <c r="B19" s="4138"/>
      <c r="C19" s="4138"/>
      <c r="D19" s="4138"/>
      <c r="E19" s="4138"/>
      <c r="F19" s="4138"/>
      <c r="G19" s="4138"/>
      <c r="H19" s="4138"/>
    </row>
    <row r="20" spans="1:8" ht="13.5" customHeight="1"/>
    <row r="21" spans="1:8" ht="12" customHeight="1">
      <c r="A21" s="411" t="s">
        <v>3253</v>
      </c>
    </row>
    <row r="22" spans="1:8" ht="3" customHeight="1"/>
    <row r="23" spans="1:8" ht="24.75" customHeight="1">
      <c r="A23" s="4185" t="s">
        <v>3469</v>
      </c>
      <c r="B23" s="4185"/>
      <c r="C23" s="4185"/>
      <c r="D23" s="4185"/>
      <c r="E23" s="4185"/>
      <c r="F23" s="4185"/>
      <c r="G23" s="4185"/>
      <c r="H23" s="4185"/>
    </row>
    <row r="24" spans="1:8" ht="9" customHeight="1" thickBot="1">
      <c r="A24" s="457"/>
    </row>
    <row r="25" spans="1:8" ht="16.350000000000001" customHeight="1" thickBot="1">
      <c r="A25" s="4178">
        <v>20</v>
      </c>
      <c r="B25" s="4179"/>
      <c r="C25" s="1078" t="s">
        <v>1196</v>
      </c>
    </row>
    <row r="26" spans="1:8" ht="9" customHeight="1">
      <c r="A26" s="457"/>
    </row>
    <row r="27" spans="1:8" ht="28.35" customHeight="1">
      <c r="A27" s="4177" t="s">
        <v>3470</v>
      </c>
      <c r="B27" s="4177"/>
      <c r="C27" s="4177"/>
      <c r="D27" s="4177"/>
      <c r="E27" s="4177"/>
      <c r="F27" s="4177"/>
      <c r="G27" s="4177"/>
      <c r="H27" s="4177"/>
    </row>
    <row r="28" spans="1:8" ht="9" customHeight="1">
      <c r="A28" s="457"/>
    </row>
    <row r="29" spans="1:8">
      <c r="A29" s="464" t="s">
        <v>3471</v>
      </c>
      <c r="B29" s="481" t="str">
        <f>IF('Part V-Revenues &amp; Expenses'!$K$62=0,"",'Part V-Revenues &amp; Expenses'!$K$62)</f>
        <v/>
      </c>
      <c r="C29" s="464" t="s">
        <v>3472</v>
      </c>
      <c r="D29" s="482" t="s">
        <v>3473</v>
      </c>
    </row>
    <row r="30" spans="1:8" ht="2.1" customHeight="1"/>
    <row r="31" spans="1:8" ht="12.75" customHeight="1">
      <c r="C31" s="461" t="s">
        <v>3474</v>
      </c>
      <c r="D31" s="483" t="s">
        <v>214</v>
      </c>
      <c r="E31" s="484"/>
      <c r="F31" s="4177" t="s">
        <v>3475</v>
      </c>
      <c r="G31" s="4177"/>
      <c r="H31" s="4177"/>
    </row>
    <row r="32" spans="1:8" ht="12.75" customHeight="1">
      <c r="C32" s="485" t="s">
        <v>340</v>
      </c>
      <c r="D32" s="483" t="s">
        <v>222</v>
      </c>
      <c r="E32" s="4177" t="s">
        <v>3476</v>
      </c>
      <c r="F32" s="4177"/>
      <c r="G32" s="4177"/>
      <c r="H32" s="4177"/>
    </row>
    <row r="33" spans="1:11" ht="12.75" customHeight="1">
      <c r="C33" s="2621" t="s">
        <v>3477</v>
      </c>
      <c r="E33" s="4177" t="s">
        <v>3478</v>
      </c>
      <c r="F33" s="4177"/>
      <c r="G33" s="4177"/>
      <c r="H33" s="4177"/>
    </row>
    <row r="34" spans="1:11" ht="12.75" customHeight="1">
      <c r="C34" s="1077"/>
      <c r="D34" s="1076" t="s">
        <v>2821</v>
      </c>
      <c r="E34" s="4180" t="s">
        <v>3479</v>
      </c>
      <c r="F34" s="4180"/>
      <c r="G34" s="4180"/>
      <c r="H34" s="4180"/>
    </row>
    <row r="35" spans="1:11" ht="3" customHeight="1">
      <c r="D35" s="483"/>
      <c r="E35" s="2626"/>
      <c r="F35" s="2626"/>
      <c r="G35" s="2626"/>
      <c r="H35" s="2626"/>
    </row>
    <row r="36" spans="1:11" ht="12.75" customHeight="1">
      <c r="C36" s="461" t="s">
        <v>3474</v>
      </c>
      <c r="D36" s="483" t="s">
        <v>214</v>
      </c>
      <c r="E36" s="484"/>
      <c r="F36" s="480" t="s">
        <v>3475</v>
      </c>
      <c r="G36" s="480"/>
      <c r="H36" s="480"/>
    </row>
    <row r="37" spans="1:11" ht="12.75" customHeight="1">
      <c r="C37" s="485" t="s">
        <v>340</v>
      </c>
      <c r="D37" s="483" t="s">
        <v>222</v>
      </c>
      <c r="E37" s="4177" t="s">
        <v>3476</v>
      </c>
      <c r="F37" s="4177"/>
      <c r="G37" s="4177"/>
      <c r="H37" s="4177"/>
    </row>
    <row r="38" spans="1:11" ht="12.75" customHeight="1">
      <c r="C38" s="2621" t="s">
        <v>3477</v>
      </c>
      <c r="E38" s="4177" t="s">
        <v>3478</v>
      </c>
      <c r="F38" s="4177"/>
      <c r="G38" s="4177"/>
      <c r="H38" s="4177"/>
    </row>
    <row r="39" spans="1:11" ht="12.75" customHeight="1">
      <c r="C39" s="1077"/>
      <c r="D39" s="1076" t="s">
        <v>2821</v>
      </c>
      <c r="E39" s="4180" t="s">
        <v>3479</v>
      </c>
      <c r="F39" s="4180"/>
      <c r="G39" s="4180"/>
      <c r="H39" s="4180"/>
    </row>
    <row r="40" spans="1:11" ht="3" customHeight="1">
      <c r="D40" s="483"/>
      <c r="E40" s="2626"/>
      <c r="F40" s="2626"/>
      <c r="G40" s="2626"/>
      <c r="H40" s="2626"/>
    </row>
    <row r="41" spans="1:11" ht="12.75" customHeight="1">
      <c r="C41" s="461" t="s">
        <v>3474</v>
      </c>
      <c r="D41" s="483" t="s">
        <v>214</v>
      </c>
      <c r="E41" s="484"/>
      <c r="F41" s="480" t="s">
        <v>3475</v>
      </c>
      <c r="G41" s="480"/>
      <c r="H41" s="480"/>
    </row>
    <row r="42" spans="1:11" ht="12.75" customHeight="1">
      <c r="C42" s="485" t="s">
        <v>340</v>
      </c>
      <c r="D42" s="483" t="s">
        <v>222</v>
      </c>
      <c r="E42" s="4177" t="s">
        <v>3476</v>
      </c>
      <c r="F42" s="4177"/>
      <c r="G42" s="4177"/>
      <c r="H42" s="4177"/>
    </row>
    <row r="43" spans="1:11" ht="12.75" customHeight="1">
      <c r="C43" s="2621" t="s">
        <v>3477</v>
      </c>
      <c r="E43" s="4177" t="s">
        <v>3478</v>
      </c>
      <c r="F43" s="4177"/>
      <c r="G43" s="4177"/>
      <c r="H43" s="4177"/>
    </row>
    <row r="44" spans="1:11" ht="12.75" customHeight="1">
      <c r="C44" s="1077"/>
      <c r="D44" s="1076" t="s">
        <v>2821</v>
      </c>
      <c r="E44" s="4180" t="s">
        <v>3479</v>
      </c>
      <c r="F44" s="4180"/>
      <c r="G44" s="4180"/>
      <c r="H44" s="4180"/>
    </row>
    <row r="45" spans="1:11" ht="6" customHeight="1">
      <c r="D45" s="483"/>
      <c r="E45" s="2626"/>
      <c r="F45" s="2626"/>
      <c r="G45" s="2626"/>
      <c r="H45" s="2626"/>
    </row>
    <row r="46" spans="1:11">
      <c r="A46" s="464" t="s">
        <v>3471</v>
      </c>
      <c r="B46" s="481" t="str">
        <f>IF('Part V-Revenues &amp; Expenses'!$L$62=0,"",'Part V-Revenues &amp; Expenses'!$L$62)</f>
        <v/>
      </c>
      <c r="C46" s="464" t="s">
        <v>3480</v>
      </c>
      <c r="D46" s="482" t="s">
        <v>3481</v>
      </c>
    </row>
    <row r="47" spans="1:11" ht="2.1" customHeight="1">
      <c r="K47" s="2622"/>
    </row>
    <row r="48" spans="1:11" ht="12.75" customHeight="1">
      <c r="C48" s="461" t="s">
        <v>3474</v>
      </c>
      <c r="D48" s="483" t="s">
        <v>214</v>
      </c>
      <c r="E48" s="484"/>
      <c r="F48" s="480" t="s">
        <v>3475</v>
      </c>
      <c r="G48" s="480"/>
      <c r="H48" s="480"/>
      <c r="K48" s="2622"/>
    </row>
    <row r="49" spans="1:11" ht="12.75" customHeight="1">
      <c r="C49" s="485" t="s">
        <v>340</v>
      </c>
      <c r="D49" s="483" t="s">
        <v>222</v>
      </c>
      <c r="E49" s="4177" t="s">
        <v>3476</v>
      </c>
      <c r="F49" s="4177"/>
      <c r="G49" s="4177"/>
      <c r="H49" s="4177"/>
      <c r="K49" s="2622"/>
    </row>
    <row r="50" spans="1:11" ht="12.75" customHeight="1">
      <c r="C50" s="2621" t="s">
        <v>3477</v>
      </c>
      <c r="E50" s="4177" t="s">
        <v>3478</v>
      </c>
      <c r="F50" s="4177"/>
      <c r="G50" s="4177"/>
      <c r="H50" s="4177"/>
    </row>
    <row r="51" spans="1:11" ht="12.75" customHeight="1">
      <c r="C51" s="1077"/>
      <c r="D51" s="486" t="s">
        <v>2821</v>
      </c>
      <c r="E51" s="4177" t="s">
        <v>3479</v>
      </c>
      <c r="F51" s="4177"/>
      <c r="G51" s="4177"/>
      <c r="H51" s="4177"/>
    </row>
    <row r="52" spans="1:11" ht="3" customHeight="1">
      <c r="D52" s="483"/>
      <c r="E52" s="2626"/>
      <c r="F52" s="2626"/>
      <c r="G52" s="2626"/>
      <c r="H52" s="2626"/>
    </row>
    <row r="53" spans="1:11" ht="12.75" customHeight="1">
      <c r="C53" s="461" t="s">
        <v>3474</v>
      </c>
      <c r="D53" s="483" t="s">
        <v>214</v>
      </c>
      <c r="E53" s="484"/>
      <c r="F53" s="480" t="s">
        <v>3475</v>
      </c>
      <c r="G53" s="480"/>
      <c r="H53" s="480"/>
    </row>
    <row r="54" spans="1:11" ht="12.75" customHeight="1">
      <c r="C54" s="485" t="s">
        <v>340</v>
      </c>
      <c r="D54" s="483" t="s">
        <v>222</v>
      </c>
      <c r="E54" s="4177" t="s">
        <v>3476</v>
      </c>
      <c r="F54" s="4177"/>
      <c r="G54" s="4177"/>
      <c r="H54" s="4177"/>
    </row>
    <row r="55" spans="1:11" ht="12.75" customHeight="1">
      <c r="C55" s="2621" t="s">
        <v>3477</v>
      </c>
      <c r="E55" s="4177" t="s">
        <v>3478</v>
      </c>
      <c r="F55" s="4177"/>
      <c r="G55" s="4177"/>
      <c r="H55" s="4177"/>
    </row>
    <row r="56" spans="1:11" ht="12.75" customHeight="1">
      <c r="C56" s="1077"/>
      <c r="D56" s="1076" t="s">
        <v>2821</v>
      </c>
      <c r="E56" s="4180" t="s">
        <v>3479</v>
      </c>
      <c r="F56" s="4180"/>
      <c r="G56" s="4180"/>
      <c r="H56" s="4180"/>
    </row>
    <row r="57" spans="1:11" ht="3" customHeight="1">
      <c r="D57" s="483"/>
      <c r="E57" s="2626"/>
      <c r="F57" s="2626"/>
      <c r="G57" s="2626"/>
      <c r="H57" s="2626"/>
    </row>
    <row r="58" spans="1:11" ht="12.75" customHeight="1">
      <c r="C58" s="461" t="s">
        <v>3474</v>
      </c>
      <c r="D58" s="483" t="s">
        <v>214</v>
      </c>
      <c r="E58" s="484"/>
      <c r="F58" s="480" t="s">
        <v>3475</v>
      </c>
      <c r="G58" s="480"/>
      <c r="H58" s="480"/>
    </row>
    <row r="59" spans="1:11" ht="12.75" customHeight="1">
      <c r="C59" s="485" t="s">
        <v>340</v>
      </c>
      <c r="D59" s="483" t="s">
        <v>222</v>
      </c>
      <c r="E59" s="4177" t="s">
        <v>3476</v>
      </c>
      <c r="F59" s="4177"/>
      <c r="G59" s="4177"/>
      <c r="H59" s="4177"/>
    </row>
    <row r="60" spans="1:11" ht="12.75" customHeight="1">
      <c r="C60" s="2621" t="s">
        <v>3477</v>
      </c>
      <c r="E60" s="4177" t="s">
        <v>3478</v>
      </c>
      <c r="F60" s="4177"/>
      <c r="G60" s="4177"/>
      <c r="H60" s="4177"/>
    </row>
    <row r="61" spans="1:11" ht="12.75" customHeight="1">
      <c r="C61" s="1077"/>
      <c r="D61" s="1076" t="s">
        <v>2821</v>
      </c>
      <c r="E61" s="4180" t="s">
        <v>3479</v>
      </c>
      <c r="F61" s="4180"/>
      <c r="G61" s="4180"/>
      <c r="H61" s="4180"/>
    </row>
    <row r="62" spans="1:11" ht="6" customHeight="1">
      <c r="D62" s="483"/>
      <c r="E62" s="2626"/>
      <c r="F62" s="2626"/>
      <c r="G62" s="2626"/>
      <c r="H62" s="2626"/>
    </row>
    <row r="63" spans="1:11">
      <c r="A63" s="464" t="s">
        <v>3471</v>
      </c>
      <c r="B63" s="481" t="str">
        <f>IF('Part V-Revenues &amp; Expenses'!$M$62=0,"",'Part V-Revenues &amp; Expenses'!$M$62)</f>
        <v/>
      </c>
      <c r="C63" s="464" t="s">
        <v>3482</v>
      </c>
      <c r="D63" s="482" t="s">
        <v>3483</v>
      </c>
    </row>
    <row r="64" spans="1:11" ht="2.1" customHeight="1"/>
    <row r="65" spans="1:8" ht="12.75" customHeight="1">
      <c r="C65" s="461" t="s">
        <v>3474</v>
      </c>
      <c r="D65" s="483" t="s">
        <v>214</v>
      </c>
      <c r="E65" s="484"/>
      <c r="F65" s="480" t="s">
        <v>3475</v>
      </c>
      <c r="G65" s="480"/>
      <c r="H65" s="480"/>
    </row>
    <row r="66" spans="1:8" ht="12.75" customHeight="1">
      <c r="C66" s="485" t="s">
        <v>340</v>
      </c>
      <c r="D66" s="483" t="s">
        <v>222</v>
      </c>
      <c r="E66" s="4177" t="s">
        <v>3476</v>
      </c>
      <c r="F66" s="4177"/>
      <c r="G66" s="4177"/>
      <c r="H66" s="4177"/>
    </row>
    <row r="67" spans="1:8" ht="12.75" customHeight="1">
      <c r="C67" s="2621" t="s">
        <v>3477</v>
      </c>
      <c r="E67" s="4177" t="s">
        <v>3478</v>
      </c>
      <c r="F67" s="4177"/>
      <c r="G67" s="4177"/>
      <c r="H67" s="4177"/>
    </row>
    <row r="68" spans="1:8" ht="12.75" customHeight="1">
      <c r="C68" s="1077"/>
      <c r="D68" s="486" t="s">
        <v>2821</v>
      </c>
      <c r="E68" s="4177" t="s">
        <v>3479</v>
      </c>
      <c r="F68" s="4177"/>
      <c r="G68" s="4177"/>
      <c r="H68" s="4177"/>
    </row>
    <row r="69" spans="1:8" ht="3" customHeight="1">
      <c r="D69" s="483"/>
      <c r="E69" s="2626"/>
      <c r="F69" s="2626"/>
      <c r="G69" s="2626"/>
      <c r="H69" s="2626"/>
    </row>
    <row r="70" spans="1:8" ht="12.75" customHeight="1">
      <c r="C70" s="461" t="s">
        <v>3474</v>
      </c>
      <c r="D70" s="483" t="s">
        <v>214</v>
      </c>
      <c r="E70" s="484"/>
      <c r="F70" s="480" t="s">
        <v>3475</v>
      </c>
      <c r="G70" s="480"/>
      <c r="H70" s="480"/>
    </row>
    <row r="71" spans="1:8" ht="12.75" customHeight="1">
      <c r="C71" s="485" t="s">
        <v>340</v>
      </c>
      <c r="D71" s="483" t="s">
        <v>222</v>
      </c>
      <c r="E71" s="4177" t="s">
        <v>3476</v>
      </c>
      <c r="F71" s="4177"/>
      <c r="G71" s="4177"/>
      <c r="H71" s="4177"/>
    </row>
    <row r="72" spans="1:8" ht="12.75" customHeight="1">
      <c r="C72" s="2621" t="s">
        <v>3477</v>
      </c>
      <c r="E72" s="4177" t="s">
        <v>3478</v>
      </c>
      <c r="F72" s="4177"/>
      <c r="G72" s="4177"/>
      <c r="H72" s="4177"/>
    </row>
    <row r="73" spans="1:8" ht="12.75" customHeight="1">
      <c r="C73" s="1077"/>
      <c r="D73" s="1076" t="s">
        <v>2821</v>
      </c>
      <c r="E73" s="4180" t="s">
        <v>3479</v>
      </c>
      <c r="F73" s="4180"/>
      <c r="G73" s="4180"/>
      <c r="H73" s="4180"/>
    </row>
    <row r="74" spans="1:8" ht="3" customHeight="1">
      <c r="D74" s="483"/>
      <c r="E74" s="2626"/>
      <c r="F74" s="2626"/>
      <c r="G74" s="2626"/>
      <c r="H74" s="2626"/>
    </row>
    <row r="75" spans="1:8" ht="12.75" customHeight="1">
      <c r="C75" s="461" t="s">
        <v>3474</v>
      </c>
      <c r="D75" s="483" t="s">
        <v>214</v>
      </c>
      <c r="E75" s="484"/>
      <c r="F75" s="480" t="s">
        <v>3475</v>
      </c>
      <c r="G75" s="480"/>
      <c r="H75" s="480"/>
    </row>
    <row r="76" spans="1:8" ht="12.75" customHeight="1">
      <c r="C76" s="485" t="s">
        <v>340</v>
      </c>
      <c r="D76" s="483" t="s">
        <v>222</v>
      </c>
      <c r="E76" s="4177" t="s">
        <v>3476</v>
      </c>
      <c r="F76" s="4177"/>
      <c r="G76" s="4177"/>
      <c r="H76" s="4177"/>
    </row>
    <row r="77" spans="1:8" ht="12.75" customHeight="1">
      <c r="C77" s="2621" t="s">
        <v>3477</v>
      </c>
      <c r="E77" s="4177" t="s">
        <v>3478</v>
      </c>
      <c r="F77" s="4177"/>
      <c r="G77" s="4177"/>
      <c r="H77" s="4177"/>
    </row>
    <row r="78" spans="1:8" ht="12.75" customHeight="1">
      <c r="C78" s="1077"/>
      <c r="D78" s="1076" t="s">
        <v>2821</v>
      </c>
      <c r="E78" s="4180" t="s">
        <v>3479</v>
      </c>
      <c r="F78" s="4180"/>
      <c r="G78" s="4180"/>
      <c r="H78" s="4180"/>
    </row>
    <row r="79" spans="1:8" ht="6" customHeight="1">
      <c r="D79" s="483"/>
      <c r="E79" s="2626"/>
      <c r="F79" s="2626"/>
      <c r="G79" s="2626"/>
      <c r="H79" s="2626"/>
    </row>
    <row r="80" spans="1:8">
      <c r="A80" s="464" t="s">
        <v>3471</v>
      </c>
      <c r="B80" s="481" t="str">
        <f>IF('Part V-Revenues &amp; Expenses'!$N$62=0,"",'Part V-Revenues &amp; Expenses'!$N$62)</f>
        <v/>
      </c>
      <c r="C80" s="464" t="s">
        <v>3484</v>
      </c>
      <c r="D80" s="482" t="s">
        <v>3485</v>
      </c>
    </row>
    <row r="81" spans="3:8" ht="2.1" customHeight="1"/>
    <row r="82" spans="3:8" ht="12.75" customHeight="1">
      <c r="C82" s="461" t="s">
        <v>3474</v>
      </c>
      <c r="D82" s="483" t="s">
        <v>214</v>
      </c>
      <c r="E82" s="484"/>
      <c r="F82" s="480" t="s">
        <v>3475</v>
      </c>
      <c r="G82" s="480"/>
      <c r="H82" s="480"/>
    </row>
    <row r="83" spans="3:8" ht="12.75" customHeight="1">
      <c r="C83" s="485" t="s">
        <v>340</v>
      </c>
      <c r="D83" s="483" t="s">
        <v>222</v>
      </c>
      <c r="E83" s="4177" t="s">
        <v>3476</v>
      </c>
      <c r="F83" s="4177"/>
      <c r="G83" s="4177"/>
      <c r="H83" s="4177"/>
    </row>
    <row r="84" spans="3:8" ht="12.75" customHeight="1">
      <c r="C84" s="2621" t="s">
        <v>3477</v>
      </c>
      <c r="E84" s="4177" t="s">
        <v>3478</v>
      </c>
      <c r="F84" s="4177"/>
      <c r="G84" s="4177"/>
      <c r="H84" s="4177"/>
    </row>
    <row r="85" spans="3:8" ht="12.75" customHeight="1">
      <c r="C85" s="1077"/>
      <c r="D85" s="486" t="s">
        <v>2821</v>
      </c>
      <c r="E85" s="4177" t="s">
        <v>3479</v>
      </c>
      <c r="F85" s="4177"/>
      <c r="G85" s="4177"/>
      <c r="H85" s="4177"/>
    </row>
    <row r="86" spans="3:8" ht="3" customHeight="1">
      <c r="D86" s="483"/>
      <c r="E86" s="2626"/>
      <c r="F86" s="2626"/>
      <c r="G86" s="2626"/>
      <c r="H86" s="2626"/>
    </row>
    <row r="87" spans="3:8" ht="12.75" customHeight="1">
      <c r="C87" s="461" t="s">
        <v>3474</v>
      </c>
      <c r="D87" s="483" t="s">
        <v>214</v>
      </c>
      <c r="E87" s="484"/>
      <c r="F87" s="480" t="s">
        <v>3475</v>
      </c>
      <c r="G87" s="480"/>
      <c r="H87" s="480"/>
    </row>
    <row r="88" spans="3:8" ht="12.75" customHeight="1">
      <c r="C88" s="485" t="s">
        <v>340</v>
      </c>
      <c r="D88" s="483" t="s">
        <v>222</v>
      </c>
      <c r="E88" s="4177" t="s">
        <v>3476</v>
      </c>
      <c r="F88" s="4177"/>
      <c r="G88" s="4177"/>
      <c r="H88" s="4177"/>
    </row>
    <row r="89" spans="3:8" ht="12.75" customHeight="1">
      <c r="C89" s="2621" t="s">
        <v>3477</v>
      </c>
      <c r="E89" s="4177" t="s">
        <v>3478</v>
      </c>
      <c r="F89" s="4177"/>
      <c r="G89" s="4177"/>
      <c r="H89" s="4177"/>
    </row>
    <row r="90" spans="3:8" ht="12.75" customHeight="1">
      <c r="C90" s="1077"/>
      <c r="D90" s="1076" t="s">
        <v>2821</v>
      </c>
      <c r="E90" s="4180" t="s">
        <v>3479</v>
      </c>
      <c r="F90" s="4180"/>
      <c r="G90" s="4180"/>
      <c r="H90" s="4180"/>
    </row>
    <row r="91" spans="3:8" ht="3" customHeight="1">
      <c r="D91" s="483"/>
      <c r="E91" s="2626"/>
      <c r="F91" s="2626"/>
      <c r="G91" s="2626"/>
      <c r="H91" s="2626"/>
    </row>
    <row r="92" spans="3:8" ht="12.75" customHeight="1">
      <c r="C92" s="461" t="s">
        <v>3474</v>
      </c>
      <c r="D92" s="483" t="s">
        <v>214</v>
      </c>
      <c r="E92" s="484"/>
      <c r="F92" s="480" t="s">
        <v>3475</v>
      </c>
      <c r="G92" s="480"/>
      <c r="H92" s="480"/>
    </row>
    <row r="93" spans="3:8" ht="12.75" customHeight="1">
      <c r="C93" s="485" t="s">
        <v>340</v>
      </c>
      <c r="D93" s="483" t="s">
        <v>222</v>
      </c>
      <c r="E93" s="4177" t="s">
        <v>3476</v>
      </c>
      <c r="F93" s="4177"/>
      <c r="G93" s="4177"/>
      <c r="H93" s="4177"/>
    </row>
    <row r="94" spans="3:8" ht="12.75" customHeight="1">
      <c r="C94" s="2621" t="s">
        <v>3477</v>
      </c>
      <c r="E94" s="4177" t="s">
        <v>3478</v>
      </c>
      <c r="F94" s="4177"/>
      <c r="G94" s="4177"/>
      <c r="H94" s="4177"/>
    </row>
    <row r="95" spans="3:8" ht="12.75" customHeight="1">
      <c r="C95" s="1077"/>
      <c r="D95" s="1076" t="s">
        <v>2821</v>
      </c>
      <c r="E95" s="4180" t="s">
        <v>3479</v>
      </c>
      <c r="F95" s="4180"/>
      <c r="G95" s="4180"/>
      <c r="H95" s="4180"/>
    </row>
    <row r="96" spans="3:8" ht="6" customHeight="1">
      <c r="D96" s="483"/>
      <c r="E96" s="2626"/>
      <c r="F96" s="2626"/>
      <c r="G96" s="2626"/>
      <c r="H96" s="2626"/>
    </row>
    <row r="97" spans="1:11">
      <c r="A97" s="464" t="s">
        <v>3471</v>
      </c>
      <c r="B97" s="481" t="str">
        <f>IF('Part V-Revenues &amp; Expenses'!$O$62=0,"",'Part V-Revenues &amp; Expenses'!$O$62)</f>
        <v/>
      </c>
      <c r="C97" s="464" t="s">
        <v>3486</v>
      </c>
      <c r="D97" s="482" t="s">
        <v>3487</v>
      </c>
    </row>
    <row r="98" spans="1:11" ht="2.1" customHeight="1"/>
    <row r="99" spans="1:11" ht="12.75" customHeight="1">
      <c r="C99" s="461" t="s">
        <v>3474</v>
      </c>
      <c r="D99" s="483" t="s">
        <v>214</v>
      </c>
      <c r="E99" s="484"/>
      <c r="F99" s="4177" t="s">
        <v>3475</v>
      </c>
      <c r="G99" s="4177"/>
      <c r="H99" s="4177"/>
      <c r="K99" s="314" t="s">
        <v>3016</v>
      </c>
    </row>
    <row r="100" spans="1:11" ht="12.75" customHeight="1">
      <c r="C100" s="485" t="s">
        <v>340</v>
      </c>
      <c r="D100" s="483" t="s">
        <v>222</v>
      </c>
      <c r="E100" s="4177" t="s">
        <v>3488</v>
      </c>
      <c r="F100" s="4177"/>
      <c r="G100" s="4177"/>
      <c r="H100" s="4177"/>
    </row>
    <row r="101" spans="1:11" ht="12.75" customHeight="1">
      <c r="E101" s="4177" t="s">
        <v>3478</v>
      </c>
      <c r="F101" s="4177"/>
      <c r="G101" s="4177"/>
      <c r="H101" s="4177"/>
    </row>
    <row r="102" spans="1:11" ht="12.75" customHeight="1">
      <c r="D102" s="486" t="s">
        <v>2821</v>
      </c>
      <c r="E102" s="4177" t="s">
        <v>3479</v>
      </c>
      <c r="F102" s="4177"/>
      <c r="G102" s="4177"/>
      <c r="H102" s="4177"/>
    </row>
    <row r="103" spans="1:11" ht="9" customHeight="1" thickBot="1"/>
    <row r="104" spans="1:11" ht="16.350000000000001" customHeight="1" thickBot="1">
      <c r="A104" s="4178">
        <v>30</v>
      </c>
      <c r="B104" s="4179"/>
      <c r="C104" s="1078" t="s">
        <v>1196</v>
      </c>
    </row>
    <row r="105" spans="1:11" ht="9" customHeight="1">
      <c r="A105" s="457"/>
    </row>
    <row r="106" spans="1:11" ht="28.35" customHeight="1">
      <c r="A106" s="4177" t="s">
        <v>3489</v>
      </c>
      <c r="B106" s="4177"/>
      <c r="C106" s="4177"/>
      <c r="D106" s="4177"/>
      <c r="E106" s="4177"/>
      <c r="F106" s="4177"/>
      <c r="G106" s="4177"/>
      <c r="H106" s="4177"/>
    </row>
    <row r="107" spans="1:11" ht="9" customHeight="1">
      <c r="A107" s="457"/>
    </row>
    <row r="108" spans="1:11">
      <c r="A108" s="464" t="s">
        <v>3471</v>
      </c>
      <c r="B108" s="481" t="str">
        <f>IF('Part V-Revenues &amp; Expenses'!$K$61=0,"",'Part V-Revenues &amp; Expenses'!$K$61)</f>
        <v/>
      </c>
      <c r="C108" s="464" t="s">
        <v>3472</v>
      </c>
      <c r="D108" s="482" t="s">
        <v>3473</v>
      </c>
    </row>
    <row r="109" spans="1:11" ht="2.1" customHeight="1"/>
    <row r="110" spans="1:11" ht="12.75" customHeight="1">
      <c r="C110" s="461" t="s">
        <v>3474</v>
      </c>
      <c r="D110" s="483" t="s">
        <v>214</v>
      </c>
      <c r="E110" s="484"/>
      <c r="F110" s="4177" t="s">
        <v>3475</v>
      </c>
      <c r="G110" s="4177"/>
      <c r="H110" s="4177"/>
    </row>
    <row r="111" spans="1:11" ht="12.75" customHeight="1">
      <c r="C111" s="485" t="s">
        <v>340</v>
      </c>
      <c r="D111" s="483" t="s">
        <v>222</v>
      </c>
      <c r="E111" s="4177" t="s">
        <v>3476</v>
      </c>
      <c r="F111" s="4177"/>
      <c r="G111" s="4177"/>
      <c r="H111" s="4177"/>
    </row>
    <row r="112" spans="1:11" ht="12.75" customHeight="1">
      <c r="C112" s="2621" t="s">
        <v>3477</v>
      </c>
      <c r="E112" s="4177" t="s">
        <v>3478</v>
      </c>
      <c r="F112" s="4177"/>
      <c r="G112" s="4177"/>
      <c r="H112" s="4177"/>
    </row>
    <row r="113" spans="1:8" ht="12.75" customHeight="1">
      <c r="C113" s="1077"/>
      <c r="D113" s="1076" t="s">
        <v>2821</v>
      </c>
      <c r="E113" s="4180" t="s">
        <v>3479</v>
      </c>
      <c r="F113" s="4180"/>
      <c r="G113" s="4180"/>
      <c r="H113" s="4180"/>
    </row>
    <row r="114" spans="1:8" ht="3" customHeight="1">
      <c r="D114" s="483"/>
      <c r="E114" s="2626"/>
      <c r="F114" s="2626"/>
      <c r="G114" s="2626"/>
      <c r="H114" s="2626"/>
    </row>
    <row r="115" spans="1:8" ht="12.75" customHeight="1">
      <c r="C115" s="461" t="s">
        <v>3474</v>
      </c>
      <c r="D115" s="483" t="s">
        <v>214</v>
      </c>
      <c r="E115" s="484"/>
      <c r="F115" s="480" t="s">
        <v>3475</v>
      </c>
      <c r="G115" s="480"/>
      <c r="H115" s="480"/>
    </row>
    <row r="116" spans="1:8" ht="12.75" customHeight="1">
      <c r="C116" s="485" t="s">
        <v>340</v>
      </c>
      <c r="D116" s="483" t="s">
        <v>222</v>
      </c>
      <c r="E116" s="4177" t="s">
        <v>3476</v>
      </c>
      <c r="F116" s="4177"/>
      <c r="G116" s="4177"/>
      <c r="H116" s="4177"/>
    </row>
    <row r="117" spans="1:8" ht="12.75" customHeight="1">
      <c r="C117" s="2621" t="s">
        <v>3477</v>
      </c>
      <c r="E117" s="4177" t="s">
        <v>3478</v>
      </c>
      <c r="F117" s="4177"/>
      <c r="G117" s="4177"/>
      <c r="H117" s="4177"/>
    </row>
    <row r="118" spans="1:8" ht="12.75" customHeight="1">
      <c r="C118" s="1077"/>
      <c r="D118" s="1076" t="s">
        <v>2821</v>
      </c>
      <c r="E118" s="4180" t="s">
        <v>3479</v>
      </c>
      <c r="F118" s="4180"/>
      <c r="G118" s="4180"/>
      <c r="H118" s="4180"/>
    </row>
    <row r="119" spans="1:8" ht="3" customHeight="1">
      <c r="D119" s="483"/>
      <c r="E119" s="2626"/>
      <c r="F119" s="2626"/>
      <c r="G119" s="2626"/>
      <c r="H119" s="2626"/>
    </row>
    <row r="120" spans="1:8" ht="12.75" customHeight="1">
      <c r="C120" s="461" t="s">
        <v>3474</v>
      </c>
      <c r="D120" s="483" t="s">
        <v>214</v>
      </c>
      <c r="E120" s="484"/>
      <c r="F120" s="480" t="s">
        <v>3475</v>
      </c>
      <c r="G120" s="480"/>
      <c r="H120" s="480"/>
    </row>
    <row r="121" spans="1:8" ht="12.75" customHeight="1">
      <c r="C121" s="485" t="s">
        <v>340</v>
      </c>
      <c r="D121" s="483" t="s">
        <v>222</v>
      </c>
      <c r="E121" s="4177" t="s">
        <v>3476</v>
      </c>
      <c r="F121" s="4177"/>
      <c r="G121" s="4177"/>
      <c r="H121" s="4177"/>
    </row>
    <row r="122" spans="1:8" ht="12.75" customHeight="1">
      <c r="C122" s="2621" t="s">
        <v>3477</v>
      </c>
      <c r="E122" s="4177" t="s">
        <v>3478</v>
      </c>
      <c r="F122" s="4177"/>
      <c r="G122" s="4177"/>
      <c r="H122" s="4177"/>
    </row>
    <row r="123" spans="1:8" ht="12.75" customHeight="1">
      <c r="C123" s="1077"/>
      <c r="D123" s="1076" t="s">
        <v>2821</v>
      </c>
      <c r="E123" s="4180" t="s">
        <v>3479</v>
      </c>
      <c r="F123" s="4180"/>
      <c r="G123" s="4180"/>
      <c r="H123" s="4180"/>
    </row>
    <row r="124" spans="1:8" ht="6" customHeight="1">
      <c r="D124" s="483"/>
      <c r="E124" s="2626"/>
      <c r="F124" s="2626"/>
      <c r="G124" s="2626"/>
      <c r="H124" s="2626"/>
    </row>
    <row r="125" spans="1:8">
      <c r="A125" s="464" t="s">
        <v>3471</v>
      </c>
      <c r="B125" s="481" t="str">
        <f>IF('Part V-Revenues &amp; Expenses'!$L$61=0,"",'Part V-Revenues &amp; Expenses'!$L$61)</f>
        <v/>
      </c>
      <c r="C125" s="464" t="s">
        <v>3480</v>
      </c>
      <c r="D125" s="482" t="s">
        <v>3481</v>
      </c>
    </row>
    <row r="126" spans="1:8" ht="2.1" customHeight="1"/>
    <row r="127" spans="1:8" ht="12.75" customHeight="1">
      <c r="C127" s="461" t="s">
        <v>3474</v>
      </c>
      <c r="D127" s="483" t="s">
        <v>214</v>
      </c>
      <c r="E127" s="484"/>
      <c r="F127" s="480" t="s">
        <v>3475</v>
      </c>
      <c r="G127" s="480"/>
      <c r="H127" s="480"/>
    </row>
    <row r="128" spans="1:8" ht="12.75" customHeight="1">
      <c r="C128" s="485" t="s">
        <v>340</v>
      </c>
      <c r="D128" s="483" t="s">
        <v>222</v>
      </c>
      <c r="E128" s="4177" t="s">
        <v>3476</v>
      </c>
      <c r="F128" s="4177"/>
      <c r="G128" s="4177"/>
      <c r="H128" s="4177"/>
    </row>
    <row r="129" spans="1:8" ht="12.75" customHeight="1">
      <c r="C129" s="2621" t="s">
        <v>3477</v>
      </c>
      <c r="E129" s="4177" t="s">
        <v>3478</v>
      </c>
      <c r="F129" s="4177"/>
      <c r="G129" s="4177"/>
      <c r="H129" s="4177"/>
    </row>
    <row r="130" spans="1:8" ht="12.75" customHeight="1">
      <c r="C130" s="1077"/>
      <c r="D130" s="486" t="s">
        <v>2821</v>
      </c>
      <c r="E130" s="4177" t="s">
        <v>3479</v>
      </c>
      <c r="F130" s="4177"/>
      <c r="G130" s="4177"/>
      <c r="H130" s="4177"/>
    </row>
    <row r="131" spans="1:8" ht="3" customHeight="1">
      <c r="D131" s="483"/>
      <c r="E131" s="2626"/>
      <c r="F131" s="2626"/>
      <c r="G131" s="2626"/>
      <c r="H131" s="2626"/>
    </row>
    <row r="132" spans="1:8" ht="12.75" customHeight="1">
      <c r="C132" s="461" t="s">
        <v>3474</v>
      </c>
      <c r="D132" s="483" t="s">
        <v>214</v>
      </c>
      <c r="E132" s="484"/>
      <c r="F132" s="480" t="s">
        <v>3475</v>
      </c>
      <c r="G132" s="480"/>
      <c r="H132" s="480"/>
    </row>
    <row r="133" spans="1:8" ht="12.75" customHeight="1">
      <c r="C133" s="485" t="s">
        <v>340</v>
      </c>
      <c r="D133" s="483" t="s">
        <v>222</v>
      </c>
      <c r="E133" s="4177" t="s">
        <v>3476</v>
      </c>
      <c r="F133" s="4177"/>
      <c r="G133" s="4177"/>
      <c r="H133" s="4177"/>
    </row>
    <row r="134" spans="1:8" ht="12.75" customHeight="1">
      <c r="C134" s="2621" t="s">
        <v>3477</v>
      </c>
      <c r="E134" s="4177" t="s">
        <v>3478</v>
      </c>
      <c r="F134" s="4177"/>
      <c r="G134" s="4177"/>
      <c r="H134" s="4177"/>
    </row>
    <row r="135" spans="1:8" ht="12.75" customHeight="1">
      <c r="C135" s="1077"/>
      <c r="D135" s="1076" t="s">
        <v>2821</v>
      </c>
      <c r="E135" s="4180" t="s">
        <v>3479</v>
      </c>
      <c r="F135" s="4180"/>
      <c r="G135" s="4180"/>
      <c r="H135" s="4180"/>
    </row>
    <row r="136" spans="1:8" ht="3" customHeight="1">
      <c r="D136" s="483"/>
      <c r="E136" s="2626"/>
      <c r="F136" s="2626"/>
      <c r="G136" s="2626"/>
      <c r="H136" s="2626"/>
    </row>
    <row r="137" spans="1:8" ht="12.75" customHeight="1">
      <c r="C137" s="461" t="s">
        <v>3474</v>
      </c>
      <c r="D137" s="483" t="s">
        <v>214</v>
      </c>
      <c r="E137" s="484"/>
      <c r="F137" s="480" t="s">
        <v>3475</v>
      </c>
      <c r="G137" s="480"/>
      <c r="H137" s="480"/>
    </row>
    <row r="138" spans="1:8" ht="12.75" customHeight="1">
      <c r="C138" s="485" t="s">
        <v>340</v>
      </c>
      <c r="D138" s="483" t="s">
        <v>222</v>
      </c>
      <c r="E138" s="4177" t="s">
        <v>3476</v>
      </c>
      <c r="F138" s="4177"/>
      <c r="G138" s="4177"/>
      <c r="H138" s="4177"/>
    </row>
    <row r="139" spans="1:8" ht="12.75" customHeight="1">
      <c r="C139" s="2621" t="s">
        <v>3477</v>
      </c>
      <c r="E139" s="4177" t="s">
        <v>3478</v>
      </c>
      <c r="F139" s="4177"/>
      <c r="G139" s="4177"/>
      <c r="H139" s="4177"/>
    </row>
    <row r="140" spans="1:8" ht="12.75" customHeight="1">
      <c r="C140" s="1077"/>
      <c r="D140" s="1076" t="s">
        <v>2821</v>
      </c>
      <c r="E140" s="4180" t="s">
        <v>3479</v>
      </c>
      <c r="F140" s="4180"/>
      <c r="G140" s="4180"/>
      <c r="H140" s="4180"/>
    </row>
    <row r="141" spans="1:8" ht="6" customHeight="1">
      <c r="D141" s="483"/>
      <c r="E141" s="2626"/>
      <c r="F141" s="2626"/>
      <c r="G141" s="2626"/>
      <c r="H141" s="2626"/>
    </row>
    <row r="142" spans="1:8">
      <c r="A142" s="464" t="s">
        <v>3471</v>
      </c>
      <c r="B142" s="481" t="str">
        <f>IF('Part V-Revenues &amp; Expenses'!$M$61=0,"",'Part V-Revenues &amp; Expenses'!$M$61)</f>
        <v/>
      </c>
      <c r="C142" s="464" t="s">
        <v>3482</v>
      </c>
      <c r="D142" s="482" t="s">
        <v>3483</v>
      </c>
    </row>
    <row r="143" spans="1:8" ht="2.1" customHeight="1"/>
    <row r="144" spans="1:8" ht="12.75" customHeight="1">
      <c r="C144" s="461" t="s">
        <v>3474</v>
      </c>
      <c r="D144" s="483" t="s">
        <v>214</v>
      </c>
      <c r="E144" s="484"/>
      <c r="F144" s="480" t="s">
        <v>3475</v>
      </c>
      <c r="G144" s="480"/>
      <c r="H144" s="480"/>
    </row>
    <row r="145" spans="1:8" ht="12.75" customHeight="1">
      <c r="C145" s="485" t="s">
        <v>340</v>
      </c>
      <c r="D145" s="483" t="s">
        <v>222</v>
      </c>
      <c r="E145" s="4177" t="s">
        <v>3476</v>
      </c>
      <c r="F145" s="4177"/>
      <c r="G145" s="4177"/>
      <c r="H145" s="4177"/>
    </row>
    <row r="146" spans="1:8" ht="12.75" customHeight="1">
      <c r="C146" s="2621" t="s">
        <v>3477</v>
      </c>
      <c r="E146" s="4177" t="s">
        <v>3478</v>
      </c>
      <c r="F146" s="4177"/>
      <c r="G146" s="4177"/>
      <c r="H146" s="4177"/>
    </row>
    <row r="147" spans="1:8" ht="12.75" customHeight="1">
      <c r="C147" s="1077"/>
      <c r="D147" s="486" t="s">
        <v>2821</v>
      </c>
      <c r="E147" s="4177" t="s">
        <v>3479</v>
      </c>
      <c r="F147" s="4177"/>
      <c r="G147" s="4177"/>
      <c r="H147" s="4177"/>
    </row>
    <row r="148" spans="1:8" ht="3" customHeight="1">
      <c r="D148" s="483"/>
      <c r="E148" s="2626"/>
      <c r="F148" s="2626"/>
      <c r="G148" s="2626"/>
      <c r="H148" s="2626"/>
    </row>
    <row r="149" spans="1:8" ht="12.75" customHeight="1">
      <c r="C149" s="461" t="s">
        <v>3474</v>
      </c>
      <c r="D149" s="483" t="s">
        <v>214</v>
      </c>
      <c r="E149" s="484"/>
      <c r="F149" s="480" t="s">
        <v>3475</v>
      </c>
      <c r="G149" s="480"/>
      <c r="H149" s="480"/>
    </row>
    <row r="150" spans="1:8" ht="12.75" customHeight="1">
      <c r="C150" s="485" t="s">
        <v>340</v>
      </c>
      <c r="D150" s="483" t="s">
        <v>222</v>
      </c>
      <c r="E150" s="4177" t="s">
        <v>3476</v>
      </c>
      <c r="F150" s="4177"/>
      <c r="G150" s="4177"/>
      <c r="H150" s="4177"/>
    </row>
    <row r="151" spans="1:8" ht="12.75" customHeight="1">
      <c r="C151" s="2621" t="s">
        <v>3477</v>
      </c>
      <c r="E151" s="4177" t="s">
        <v>3478</v>
      </c>
      <c r="F151" s="4177"/>
      <c r="G151" s="4177"/>
      <c r="H151" s="4177"/>
    </row>
    <row r="152" spans="1:8" ht="12.75" customHeight="1">
      <c r="C152" s="1077"/>
      <c r="D152" s="1076" t="s">
        <v>2821</v>
      </c>
      <c r="E152" s="4180" t="s">
        <v>3479</v>
      </c>
      <c r="F152" s="4180"/>
      <c r="G152" s="4180"/>
      <c r="H152" s="4180"/>
    </row>
    <row r="153" spans="1:8" ht="3" customHeight="1">
      <c r="D153" s="483"/>
      <c r="E153" s="2626"/>
      <c r="F153" s="2626"/>
      <c r="G153" s="2626"/>
      <c r="H153" s="2626"/>
    </row>
    <row r="154" spans="1:8" ht="12.75" customHeight="1">
      <c r="C154" s="461" t="s">
        <v>3474</v>
      </c>
      <c r="D154" s="483" t="s">
        <v>214</v>
      </c>
      <c r="E154" s="484"/>
      <c r="F154" s="480" t="s">
        <v>3475</v>
      </c>
      <c r="G154" s="480"/>
      <c r="H154" s="480"/>
    </row>
    <row r="155" spans="1:8" ht="12.75" customHeight="1">
      <c r="C155" s="485" t="s">
        <v>340</v>
      </c>
      <c r="D155" s="483" t="s">
        <v>222</v>
      </c>
      <c r="E155" s="4177" t="s">
        <v>3476</v>
      </c>
      <c r="F155" s="4177"/>
      <c r="G155" s="4177"/>
      <c r="H155" s="4177"/>
    </row>
    <row r="156" spans="1:8" ht="12.75" customHeight="1">
      <c r="C156" s="2621" t="s">
        <v>3477</v>
      </c>
      <c r="E156" s="4177" t="s">
        <v>3478</v>
      </c>
      <c r="F156" s="4177"/>
      <c r="G156" s="4177"/>
      <c r="H156" s="4177"/>
    </row>
    <row r="157" spans="1:8" ht="12.75" customHeight="1">
      <c r="C157" s="1077"/>
      <c r="D157" s="1076" t="s">
        <v>2821</v>
      </c>
      <c r="E157" s="4180" t="s">
        <v>3479</v>
      </c>
      <c r="F157" s="4180"/>
      <c r="G157" s="4180"/>
      <c r="H157" s="4180"/>
    </row>
    <row r="158" spans="1:8" ht="6" customHeight="1">
      <c r="D158" s="483"/>
      <c r="E158" s="2626"/>
      <c r="F158" s="2626"/>
      <c r="G158" s="2626"/>
      <c r="H158" s="2626"/>
    </row>
    <row r="159" spans="1:8">
      <c r="A159" s="464" t="s">
        <v>3471</v>
      </c>
      <c r="B159" s="481" t="str">
        <f>IF('Part V-Revenues &amp; Expenses'!$N$61=0,"",'Part V-Revenues &amp; Expenses'!$N$61)</f>
        <v/>
      </c>
      <c r="C159" s="464" t="s">
        <v>3484</v>
      </c>
      <c r="D159" s="482" t="s">
        <v>3485</v>
      </c>
    </row>
    <row r="160" spans="1:8" ht="2.1" customHeight="1"/>
    <row r="161" spans="1:8" ht="12.75" customHeight="1">
      <c r="C161" s="461" t="s">
        <v>3474</v>
      </c>
      <c r="D161" s="483" t="s">
        <v>214</v>
      </c>
      <c r="E161" s="484"/>
      <c r="F161" s="480" t="s">
        <v>3475</v>
      </c>
      <c r="G161" s="480"/>
      <c r="H161" s="480"/>
    </row>
    <row r="162" spans="1:8" ht="12.75" customHeight="1">
      <c r="C162" s="485" t="s">
        <v>340</v>
      </c>
      <c r="D162" s="483" t="s">
        <v>222</v>
      </c>
      <c r="E162" s="4177" t="s">
        <v>3476</v>
      </c>
      <c r="F162" s="4177"/>
      <c r="G162" s="4177"/>
      <c r="H162" s="4177"/>
    </row>
    <row r="163" spans="1:8" ht="12.75" customHeight="1">
      <c r="C163" s="2621" t="s">
        <v>3477</v>
      </c>
      <c r="E163" s="4177" t="s">
        <v>3478</v>
      </c>
      <c r="F163" s="4177"/>
      <c r="G163" s="4177"/>
      <c r="H163" s="4177"/>
    </row>
    <row r="164" spans="1:8" ht="12.75" customHeight="1">
      <c r="C164" s="1077"/>
      <c r="D164" s="486" t="s">
        <v>2821</v>
      </c>
      <c r="E164" s="4177" t="s">
        <v>3479</v>
      </c>
      <c r="F164" s="4177"/>
      <c r="G164" s="4177"/>
      <c r="H164" s="4177"/>
    </row>
    <row r="165" spans="1:8" ht="3" customHeight="1">
      <c r="D165" s="483"/>
      <c r="E165" s="2626"/>
      <c r="F165" s="2626"/>
      <c r="G165" s="2626"/>
      <c r="H165" s="2626"/>
    </row>
    <row r="166" spans="1:8" ht="12.75" customHeight="1">
      <c r="C166" s="461" t="s">
        <v>3474</v>
      </c>
      <c r="D166" s="483" t="s">
        <v>214</v>
      </c>
      <c r="E166" s="484"/>
      <c r="F166" s="480" t="s">
        <v>3475</v>
      </c>
      <c r="G166" s="480"/>
      <c r="H166" s="480"/>
    </row>
    <row r="167" spans="1:8" ht="12.75" customHeight="1">
      <c r="C167" s="485" t="s">
        <v>340</v>
      </c>
      <c r="D167" s="483" t="s">
        <v>222</v>
      </c>
      <c r="E167" s="4177" t="s">
        <v>3476</v>
      </c>
      <c r="F167" s="4177"/>
      <c r="G167" s="4177"/>
      <c r="H167" s="4177"/>
    </row>
    <row r="168" spans="1:8" ht="12.75" customHeight="1">
      <c r="C168" s="2621" t="s">
        <v>3477</v>
      </c>
      <c r="E168" s="4177" t="s">
        <v>3478</v>
      </c>
      <c r="F168" s="4177"/>
      <c r="G168" s="4177"/>
      <c r="H168" s="4177"/>
    </row>
    <row r="169" spans="1:8" ht="12.75" customHeight="1">
      <c r="C169" s="1077"/>
      <c r="D169" s="1076" t="s">
        <v>2821</v>
      </c>
      <c r="E169" s="4180" t="s">
        <v>3479</v>
      </c>
      <c r="F169" s="4180"/>
      <c r="G169" s="4180"/>
      <c r="H169" s="4180"/>
    </row>
    <row r="170" spans="1:8" ht="3" customHeight="1">
      <c r="D170" s="483"/>
      <c r="E170" s="2626"/>
      <c r="F170" s="2626"/>
      <c r="G170" s="2626"/>
      <c r="H170" s="2626"/>
    </row>
    <row r="171" spans="1:8" ht="12.75" customHeight="1">
      <c r="C171" s="461" t="s">
        <v>3474</v>
      </c>
      <c r="D171" s="483" t="s">
        <v>214</v>
      </c>
      <c r="E171" s="484"/>
      <c r="F171" s="480" t="s">
        <v>3475</v>
      </c>
      <c r="G171" s="480"/>
      <c r="H171" s="480"/>
    </row>
    <row r="172" spans="1:8" ht="12.75" customHeight="1">
      <c r="C172" s="485" t="s">
        <v>340</v>
      </c>
      <c r="D172" s="483" t="s">
        <v>222</v>
      </c>
      <c r="E172" s="4177" t="s">
        <v>3476</v>
      </c>
      <c r="F172" s="4177"/>
      <c r="G172" s="4177"/>
      <c r="H172" s="4177"/>
    </row>
    <row r="173" spans="1:8" ht="12.75" customHeight="1">
      <c r="C173" s="2621" t="s">
        <v>3477</v>
      </c>
      <c r="E173" s="4177" t="s">
        <v>3478</v>
      </c>
      <c r="F173" s="4177"/>
      <c r="G173" s="4177"/>
      <c r="H173" s="4177"/>
    </row>
    <row r="174" spans="1:8" ht="12.75" customHeight="1">
      <c r="C174" s="1077"/>
      <c r="D174" s="1076" t="s">
        <v>2821</v>
      </c>
      <c r="E174" s="4180" t="s">
        <v>3479</v>
      </c>
      <c r="F174" s="4180"/>
      <c r="G174" s="4180"/>
      <c r="H174" s="4180"/>
    </row>
    <row r="175" spans="1:8" ht="6" customHeight="1">
      <c r="D175" s="483"/>
      <c r="E175" s="2626"/>
      <c r="F175" s="2626"/>
      <c r="G175" s="2626"/>
      <c r="H175" s="2626"/>
    </row>
    <row r="176" spans="1:8">
      <c r="A176" s="464" t="s">
        <v>3471</v>
      </c>
      <c r="B176" s="481" t="str">
        <f>IF('Part V-Revenues &amp; Expenses'!$O61=0,"",'Part V-Revenues &amp; Expenses'!$O$61)</f>
        <v/>
      </c>
      <c r="C176" s="464" t="s">
        <v>3486</v>
      </c>
      <c r="D176" s="482" t="s">
        <v>3487</v>
      </c>
    </row>
    <row r="177" spans="1:11" ht="2.1" customHeight="1"/>
    <row r="178" spans="1:11" ht="12.75" customHeight="1">
      <c r="C178" s="461" t="s">
        <v>3474</v>
      </c>
      <c r="D178" s="483" t="s">
        <v>214</v>
      </c>
      <c r="E178" s="484"/>
      <c r="F178" s="4177" t="s">
        <v>3475</v>
      </c>
      <c r="G178" s="4177"/>
      <c r="H178" s="4177"/>
      <c r="K178" s="314" t="s">
        <v>3016</v>
      </c>
    </row>
    <row r="179" spans="1:11" ht="12.75" customHeight="1">
      <c r="C179" s="485" t="s">
        <v>340</v>
      </c>
      <c r="D179" s="483" t="s">
        <v>222</v>
      </c>
      <c r="E179" s="4177" t="s">
        <v>3488</v>
      </c>
      <c r="F179" s="4177"/>
      <c r="G179" s="4177"/>
      <c r="H179" s="4177"/>
    </row>
    <row r="180" spans="1:11" ht="12.75" customHeight="1">
      <c r="E180" s="4177" t="s">
        <v>3478</v>
      </c>
      <c r="F180" s="4177"/>
      <c r="G180" s="4177"/>
      <c r="H180" s="4177"/>
    </row>
    <row r="181" spans="1:11" ht="12.75" customHeight="1">
      <c r="D181" s="486" t="s">
        <v>2821</v>
      </c>
      <c r="E181" s="4177" t="s">
        <v>3479</v>
      </c>
      <c r="F181" s="4177"/>
      <c r="G181" s="4177"/>
      <c r="H181" s="4177"/>
    </row>
    <row r="182" spans="1:11" ht="9" customHeight="1" thickBot="1"/>
    <row r="183" spans="1:11" ht="16.350000000000001" customHeight="1" thickBot="1">
      <c r="A183" s="4178">
        <v>40</v>
      </c>
      <c r="B183" s="4179"/>
      <c r="C183" s="1078" t="s">
        <v>1196</v>
      </c>
    </row>
    <row r="184" spans="1:11" ht="9" customHeight="1">
      <c r="A184" s="457"/>
    </row>
    <row r="185" spans="1:11" ht="28.35" customHeight="1">
      <c r="A185" s="4177" t="s">
        <v>3490</v>
      </c>
      <c r="B185" s="4177"/>
      <c r="C185" s="4177"/>
      <c r="D185" s="4177"/>
      <c r="E185" s="4177"/>
      <c r="F185" s="4177"/>
      <c r="G185" s="4177"/>
      <c r="H185" s="4177"/>
    </row>
    <row r="186" spans="1:11" ht="9" customHeight="1">
      <c r="A186" s="457"/>
    </row>
    <row r="187" spans="1:11">
      <c r="A187" s="464" t="s">
        <v>3471</v>
      </c>
      <c r="B187" s="481" t="str">
        <f>IF('Part V-Revenues &amp; Expenses'!$K$60=0,"",'Part V-Revenues &amp; Expenses'!$K$60)</f>
        <v/>
      </c>
      <c r="C187" s="464" t="s">
        <v>3472</v>
      </c>
      <c r="D187" s="482" t="s">
        <v>3473</v>
      </c>
    </row>
    <row r="188" spans="1:11" ht="2.1" customHeight="1"/>
    <row r="189" spans="1:11" ht="12.75" customHeight="1">
      <c r="C189" s="461" t="s">
        <v>3474</v>
      </c>
      <c r="D189" s="483" t="s">
        <v>214</v>
      </c>
      <c r="E189" s="484"/>
      <c r="F189" s="4177" t="s">
        <v>3475</v>
      </c>
      <c r="G189" s="4177"/>
      <c r="H189" s="4177"/>
    </row>
    <row r="190" spans="1:11" ht="12.75" customHeight="1">
      <c r="C190" s="485" t="s">
        <v>340</v>
      </c>
      <c r="D190" s="483" t="s">
        <v>222</v>
      </c>
      <c r="E190" s="4177" t="s">
        <v>3476</v>
      </c>
      <c r="F190" s="4177"/>
      <c r="G190" s="4177"/>
      <c r="H190" s="4177"/>
    </row>
    <row r="191" spans="1:11" ht="12.75" customHeight="1">
      <c r="C191" s="2621" t="s">
        <v>3477</v>
      </c>
      <c r="E191" s="4177" t="s">
        <v>3478</v>
      </c>
      <c r="F191" s="4177"/>
      <c r="G191" s="4177"/>
      <c r="H191" s="4177"/>
    </row>
    <row r="192" spans="1:11" ht="12.75" customHeight="1">
      <c r="C192" s="1077"/>
      <c r="D192" s="1076" t="s">
        <v>2821</v>
      </c>
      <c r="E192" s="4180" t="s">
        <v>3479</v>
      </c>
      <c r="F192" s="4180"/>
      <c r="G192" s="4180"/>
      <c r="H192" s="4180"/>
    </row>
    <row r="193" spans="1:8" ht="3" customHeight="1">
      <c r="D193" s="483"/>
      <c r="E193" s="2626"/>
      <c r="F193" s="2626"/>
      <c r="G193" s="2626"/>
      <c r="H193" s="2626"/>
    </row>
    <row r="194" spans="1:8" ht="12.75" customHeight="1">
      <c r="C194" s="461" t="s">
        <v>3474</v>
      </c>
      <c r="D194" s="483" t="s">
        <v>214</v>
      </c>
      <c r="E194" s="484"/>
      <c r="F194" s="480" t="s">
        <v>3475</v>
      </c>
      <c r="G194" s="480"/>
      <c r="H194" s="480"/>
    </row>
    <row r="195" spans="1:8" ht="12.75" customHeight="1">
      <c r="C195" s="485" t="s">
        <v>340</v>
      </c>
      <c r="D195" s="483" t="s">
        <v>222</v>
      </c>
      <c r="E195" s="4177" t="s">
        <v>3476</v>
      </c>
      <c r="F195" s="4177"/>
      <c r="G195" s="4177"/>
      <c r="H195" s="4177"/>
    </row>
    <row r="196" spans="1:8" ht="12.75" customHeight="1">
      <c r="C196" s="2621" t="s">
        <v>3477</v>
      </c>
      <c r="E196" s="4177" t="s">
        <v>3478</v>
      </c>
      <c r="F196" s="4177"/>
      <c r="G196" s="4177"/>
      <c r="H196" s="4177"/>
    </row>
    <row r="197" spans="1:8" ht="12.75" customHeight="1">
      <c r="C197" s="1077"/>
      <c r="D197" s="1076" t="s">
        <v>2821</v>
      </c>
      <c r="E197" s="4180" t="s">
        <v>3479</v>
      </c>
      <c r="F197" s="4180"/>
      <c r="G197" s="4180"/>
      <c r="H197" s="4180"/>
    </row>
    <row r="198" spans="1:8" ht="3" customHeight="1">
      <c r="D198" s="483"/>
      <c r="E198" s="2626"/>
      <c r="F198" s="2626"/>
      <c r="G198" s="2626"/>
      <c r="H198" s="2626"/>
    </row>
    <row r="199" spans="1:8" ht="12.75" customHeight="1">
      <c r="C199" s="461" t="s">
        <v>3474</v>
      </c>
      <c r="D199" s="483" t="s">
        <v>214</v>
      </c>
      <c r="E199" s="484"/>
      <c r="F199" s="480" t="s">
        <v>3475</v>
      </c>
      <c r="G199" s="480"/>
      <c r="H199" s="480"/>
    </row>
    <row r="200" spans="1:8" ht="12.75" customHeight="1">
      <c r="C200" s="485" t="s">
        <v>340</v>
      </c>
      <c r="D200" s="483" t="s">
        <v>222</v>
      </c>
      <c r="E200" s="4177" t="s">
        <v>3476</v>
      </c>
      <c r="F200" s="4177"/>
      <c r="G200" s="4177"/>
      <c r="H200" s="4177"/>
    </row>
    <row r="201" spans="1:8" ht="12.75" customHeight="1">
      <c r="C201" s="2621" t="s">
        <v>3477</v>
      </c>
      <c r="E201" s="4177" t="s">
        <v>3478</v>
      </c>
      <c r="F201" s="4177"/>
      <c r="G201" s="4177"/>
      <c r="H201" s="4177"/>
    </row>
    <row r="202" spans="1:8" ht="12.75" customHeight="1">
      <c r="C202" s="1077"/>
      <c r="D202" s="1076" t="s">
        <v>2821</v>
      </c>
      <c r="E202" s="4180" t="s">
        <v>3479</v>
      </c>
      <c r="F202" s="4180"/>
      <c r="G202" s="4180"/>
      <c r="H202" s="4180"/>
    </row>
    <row r="203" spans="1:8" ht="6" customHeight="1">
      <c r="D203" s="483"/>
      <c r="E203" s="2626"/>
      <c r="F203" s="2626"/>
      <c r="G203" s="2626"/>
      <c r="H203" s="2626"/>
    </row>
    <row r="204" spans="1:8">
      <c r="A204" s="464" t="s">
        <v>3471</v>
      </c>
      <c r="B204" s="481" t="str">
        <f>IF('Part V-Revenues &amp; Expenses'!$L$60=0,"",'Part V-Revenues &amp; Expenses'!$L$60)</f>
        <v/>
      </c>
      <c r="C204" s="464" t="s">
        <v>3480</v>
      </c>
      <c r="D204" s="482" t="s">
        <v>3481</v>
      </c>
    </row>
    <row r="205" spans="1:8" ht="2.1" customHeight="1"/>
    <row r="206" spans="1:8" ht="12.75" customHeight="1">
      <c r="C206" s="461" t="s">
        <v>3474</v>
      </c>
      <c r="D206" s="483" t="s">
        <v>214</v>
      </c>
      <c r="E206" s="484"/>
      <c r="F206" s="480" t="s">
        <v>3475</v>
      </c>
      <c r="G206" s="480"/>
      <c r="H206" s="480"/>
    </row>
    <row r="207" spans="1:8" ht="12.75" customHeight="1">
      <c r="C207" s="485" t="s">
        <v>340</v>
      </c>
      <c r="D207" s="483" t="s">
        <v>222</v>
      </c>
      <c r="E207" s="4177" t="s">
        <v>3476</v>
      </c>
      <c r="F207" s="4177"/>
      <c r="G207" s="4177"/>
      <c r="H207" s="4177"/>
    </row>
    <row r="208" spans="1:8" ht="12.75" customHeight="1">
      <c r="C208" s="2621" t="s">
        <v>3477</v>
      </c>
      <c r="E208" s="4177" t="s">
        <v>3478</v>
      </c>
      <c r="F208" s="4177"/>
      <c r="G208" s="4177"/>
      <c r="H208" s="4177"/>
    </row>
    <row r="209" spans="1:8" ht="12.75" customHeight="1">
      <c r="C209" s="1077"/>
      <c r="D209" s="486" t="s">
        <v>2821</v>
      </c>
      <c r="E209" s="4177" t="s">
        <v>3479</v>
      </c>
      <c r="F209" s="4177"/>
      <c r="G209" s="4177"/>
      <c r="H209" s="4177"/>
    </row>
    <row r="210" spans="1:8" ht="3" customHeight="1">
      <c r="D210" s="483"/>
      <c r="E210" s="2626"/>
      <c r="F210" s="2626"/>
      <c r="G210" s="2626"/>
      <c r="H210" s="2626"/>
    </row>
    <row r="211" spans="1:8" ht="12.75" customHeight="1">
      <c r="C211" s="461" t="s">
        <v>3474</v>
      </c>
      <c r="D211" s="483" t="s">
        <v>214</v>
      </c>
      <c r="E211" s="484"/>
      <c r="F211" s="480" t="s">
        <v>3475</v>
      </c>
      <c r="G211" s="480"/>
      <c r="H211" s="480"/>
    </row>
    <row r="212" spans="1:8" ht="12.75" customHeight="1">
      <c r="C212" s="485" t="s">
        <v>340</v>
      </c>
      <c r="D212" s="483" t="s">
        <v>222</v>
      </c>
      <c r="E212" s="4177" t="s">
        <v>3476</v>
      </c>
      <c r="F212" s="4177"/>
      <c r="G212" s="4177"/>
      <c r="H212" s="4177"/>
    </row>
    <row r="213" spans="1:8" ht="12.75" customHeight="1">
      <c r="C213" s="2621" t="s">
        <v>3477</v>
      </c>
      <c r="E213" s="4177" t="s">
        <v>3478</v>
      </c>
      <c r="F213" s="4177"/>
      <c r="G213" s="4177"/>
      <c r="H213" s="4177"/>
    </row>
    <row r="214" spans="1:8" ht="12.75" customHeight="1">
      <c r="C214" s="1077"/>
      <c r="D214" s="1076" t="s">
        <v>2821</v>
      </c>
      <c r="E214" s="4180" t="s">
        <v>3479</v>
      </c>
      <c r="F214" s="4180"/>
      <c r="G214" s="4180"/>
      <c r="H214" s="4180"/>
    </row>
    <row r="215" spans="1:8" ht="3" customHeight="1">
      <c r="D215" s="483"/>
      <c r="E215" s="2626"/>
      <c r="F215" s="2626"/>
      <c r="G215" s="2626"/>
      <c r="H215" s="2626"/>
    </row>
    <row r="216" spans="1:8" ht="12.75" customHeight="1">
      <c r="C216" s="461" t="s">
        <v>3474</v>
      </c>
      <c r="D216" s="483" t="s">
        <v>214</v>
      </c>
      <c r="E216" s="484"/>
      <c r="F216" s="480" t="s">
        <v>3475</v>
      </c>
      <c r="G216" s="480"/>
      <c r="H216" s="480"/>
    </row>
    <row r="217" spans="1:8" ht="12.75" customHeight="1">
      <c r="C217" s="485" t="s">
        <v>340</v>
      </c>
      <c r="D217" s="483" t="s">
        <v>222</v>
      </c>
      <c r="E217" s="4177" t="s">
        <v>3476</v>
      </c>
      <c r="F217" s="4177"/>
      <c r="G217" s="4177"/>
      <c r="H217" s="4177"/>
    </row>
    <row r="218" spans="1:8" ht="12.75" customHeight="1">
      <c r="C218" s="2621" t="s">
        <v>3477</v>
      </c>
      <c r="E218" s="4177" t="s">
        <v>3478</v>
      </c>
      <c r="F218" s="4177"/>
      <c r="G218" s="4177"/>
      <c r="H218" s="4177"/>
    </row>
    <row r="219" spans="1:8" ht="12.75" customHeight="1">
      <c r="C219" s="1077"/>
      <c r="D219" s="1076" t="s">
        <v>2821</v>
      </c>
      <c r="E219" s="4180" t="s">
        <v>3479</v>
      </c>
      <c r="F219" s="4180"/>
      <c r="G219" s="4180"/>
      <c r="H219" s="4180"/>
    </row>
    <row r="220" spans="1:8" ht="6" customHeight="1">
      <c r="D220" s="483"/>
      <c r="E220" s="2626"/>
      <c r="F220" s="2626"/>
      <c r="G220" s="2626"/>
      <c r="H220" s="2626"/>
    </row>
    <row r="221" spans="1:8">
      <c r="A221" s="464" t="s">
        <v>3471</v>
      </c>
      <c r="B221" s="481" t="str">
        <f>IF('Part V-Revenues &amp; Expenses'!$M$60=0,"",'Part V-Revenues &amp; Expenses'!$M$60)</f>
        <v/>
      </c>
      <c r="C221" s="464" t="s">
        <v>3482</v>
      </c>
      <c r="D221" s="482" t="s">
        <v>3483</v>
      </c>
    </row>
    <row r="222" spans="1:8" ht="2.1" customHeight="1"/>
    <row r="223" spans="1:8" ht="12.75" customHeight="1">
      <c r="C223" s="461" t="s">
        <v>3474</v>
      </c>
      <c r="D223" s="483" t="s">
        <v>214</v>
      </c>
      <c r="E223" s="484"/>
      <c r="F223" s="480" t="s">
        <v>3475</v>
      </c>
      <c r="G223" s="480"/>
      <c r="H223" s="480"/>
    </row>
    <row r="224" spans="1:8" ht="12.75" customHeight="1">
      <c r="C224" s="485" t="s">
        <v>340</v>
      </c>
      <c r="D224" s="483" t="s">
        <v>222</v>
      </c>
      <c r="E224" s="4177" t="s">
        <v>3476</v>
      </c>
      <c r="F224" s="4177"/>
      <c r="G224" s="4177"/>
      <c r="H224" s="4177"/>
    </row>
    <row r="225" spans="1:8" ht="12.75" customHeight="1">
      <c r="C225" s="2621" t="s">
        <v>3477</v>
      </c>
      <c r="E225" s="4177" t="s">
        <v>3478</v>
      </c>
      <c r="F225" s="4177"/>
      <c r="G225" s="4177"/>
      <c r="H225" s="4177"/>
    </row>
    <row r="226" spans="1:8" ht="12.75" customHeight="1">
      <c r="C226" s="1077"/>
      <c r="D226" s="486" t="s">
        <v>2821</v>
      </c>
      <c r="E226" s="4177" t="s">
        <v>3479</v>
      </c>
      <c r="F226" s="4177"/>
      <c r="G226" s="4177"/>
      <c r="H226" s="4177"/>
    </row>
    <row r="227" spans="1:8" ht="3" customHeight="1">
      <c r="D227" s="483"/>
      <c r="E227" s="2626"/>
      <c r="F227" s="2626"/>
      <c r="G227" s="2626"/>
      <c r="H227" s="2626"/>
    </row>
    <row r="228" spans="1:8" ht="12.75" customHeight="1">
      <c r="C228" s="461" t="s">
        <v>3474</v>
      </c>
      <c r="D228" s="483" t="s">
        <v>214</v>
      </c>
      <c r="E228" s="484"/>
      <c r="F228" s="480" t="s">
        <v>3475</v>
      </c>
      <c r="G228" s="480"/>
      <c r="H228" s="480"/>
    </row>
    <row r="229" spans="1:8" ht="12.75" customHeight="1">
      <c r="C229" s="485" t="s">
        <v>340</v>
      </c>
      <c r="D229" s="483" t="s">
        <v>222</v>
      </c>
      <c r="E229" s="4177" t="s">
        <v>3476</v>
      </c>
      <c r="F229" s="4177"/>
      <c r="G229" s="4177"/>
      <c r="H229" s="4177"/>
    </row>
    <row r="230" spans="1:8" ht="12.75" customHeight="1">
      <c r="C230" s="2621" t="s">
        <v>3477</v>
      </c>
      <c r="E230" s="4177" t="s">
        <v>3478</v>
      </c>
      <c r="F230" s="4177"/>
      <c r="G230" s="4177"/>
      <c r="H230" s="4177"/>
    </row>
    <row r="231" spans="1:8" ht="12.75" customHeight="1">
      <c r="C231" s="1077"/>
      <c r="D231" s="1076" t="s">
        <v>2821</v>
      </c>
      <c r="E231" s="4180" t="s">
        <v>3479</v>
      </c>
      <c r="F231" s="4180"/>
      <c r="G231" s="4180"/>
      <c r="H231" s="4180"/>
    </row>
    <row r="232" spans="1:8" ht="3" customHeight="1">
      <c r="D232" s="483"/>
      <c r="E232" s="2626"/>
      <c r="F232" s="2626"/>
      <c r="G232" s="2626"/>
      <c r="H232" s="2626"/>
    </row>
    <row r="233" spans="1:8" ht="12.75" customHeight="1">
      <c r="C233" s="461" t="s">
        <v>3474</v>
      </c>
      <c r="D233" s="483" t="s">
        <v>214</v>
      </c>
      <c r="E233" s="484"/>
      <c r="F233" s="480" t="s">
        <v>3475</v>
      </c>
      <c r="G233" s="480"/>
      <c r="H233" s="480"/>
    </row>
    <row r="234" spans="1:8" ht="12.75" customHeight="1">
      <c r="C234" s="485" t="s">
        <v>340</v>
      </c>
      <c r="D234" s="483" t="s">
        <v>222</v>
      </c>
      <c r="E234" s="4177" t="s">
        <v>3476</v>
      </c>
      <c r="F234" s="4177"/>
      <c r="G234" s="4177"/>
      <c r="H234" s="4177"/>
    </row>
    <row r="235" spans="1:8" ht="12.75" customHeight="1">
      <c r="C235" s="2621" t="s">
        <v>3477</v>
      </c>
      <c r="E235" s="4177" t="s">
        <v>3478</v>
      </c>
      <c r="F235" s="4177"/>
      <c r="G235" s="4177"/>
      <c r="H235" s="4177"/>
    </row>
    <row r="236" spans="1:8" ht="12.75" customHeight="1">
      <c r="C236" s="1077"/>
      <c r="D236" s="1076" t="s">
        <v>2821</v>
      </c>
      <c r="E236" s="4180" t="s">
        <v>3479</v>
      </c>
      <c r="F236" s="4180"/>
      <c r="G236" s="4180"/>
      <c r="H236" s="4180"/>
    </row>
    <row r="237" spans="1:8" ht="6" customHeight="1">
      <c r="D237" s="483"/>
      <c r="E237" s="2626"/>
      <c r="F237" s="2626"/>
      <c r="G237" s="2626"/>
      <c r="H237" s="2626"/>
    </row>
    <row r="238" spans="1:8">
      <c r="A238" s="464" t="s">
        <v>3471</v>
      </c>
      <c r="B238" s="481" t="str">
        <f>IF('Part V-Revenues &amp; Expenses'!$N$60=0,"",'Part V-Revenues &amp; Expenses'!$N$60)</f>
        <v/>
      </c>
      <c r="C238" s="464" t="s">
        <v>3484</v>
      </c>
      <c r="D238" s="482" t="s">
        <v>3485</v>
      </c>
    </row>
    <row r="239" spans="1:8" ht="2.1" customHeight="1"/>
    <row r="240" spans="1:8" ht="12.75" customHeight="1">
      <c r="C240" s="461" t="s">
        <v>3474</v>
      </c>
      <c r="D240" s="483" t="s">
        <v>214</v>
      </c>
      <c r="E240" s="484"/>
      <c r="F240" s="480" t="s">
        <v>3475</v>
      </c>
      <c r="G240" s="480"/>
      <c r="H240" s="480"/>
    </row>
    <row r="241" spans="1:8" ht="12.75" customHeight="1">
      <c r="C241" s="485" t="s">
        <v>340</v>
      </c>
      <c r="D241" s="483" t="s">
        <v>222</v>
      </c>
      <c r="E241" s="4177" t="s">
        <v>3476</v>
      </c>
      <c r="F241" s="4177"/>
      <c r="G241" s="4177"/>
      <c r="H241" s="4177"/>
    </row>
    <row r="242" spans="1:8" ht="12.75" customHeight="1">
      <c r="C242" s="2621" t="s">
        <v>3477</v>
      </c>
      <c r="E242" s="4177" t="s">
        <v>3478</v>
      </c>
      <c r="F242" s="4177"/>
      <c r="G242" s="4177"/>
      <c r="H242" s="4177"/>
    </row>
    <row r="243" spans="1:8" ht="12.75" customHeight="1">
      <c r="C243" s="1077"/>
      <c r="D243" s="486" t="s">
        <v>2821</v>
      </c>
      <c r="E243" s="4177" t="s">
        <v>3479</v>
      </c>
      <c r="F243" s="4177"/>
      <c r="G243" s="4177"/>
      <c r="H243" s="4177"/>
    </row>
    <row r="244" spans="1:8" ht="3" customHeight="1">
      <c r="D244" s="483"/>
      <c r="E244" s="2626"/>
      <c r="F244" s="2626"/>
      <c r="G244" s="2626"/>
      <c r="H244" s="2626"/>
    </row>
    <row r="245" spans="1:8" ht="12.75" customHeight="1">
      <c r="C245" s="461" t="s">
        <v>3474</v>
      </c>
      <c r="D245" s="483" t="s">
        <v>214</v>
      </c>
      <c r="E245" s="484"/>
      <c r="F245" s="480" t="s">
        <v>3475</v>
      </c>
      <c r="G245" s="480"/>
      <c r="H245" s="480"/>
    </row>
    <row r="246" spans="1:8" ht="12.75" customHeight="1">
      <c r="C246" s="485" t="s">
        <v>340</v>
      </c>
      <c r="D246" s="483" t="s">
        <v>222</v>
      </c>
      <c r="E246" s="4177" t="s">
        <v>3476</v>
      </c>
      <c r="F246" s="4177"/>
      <c r="G246" s="4177"/>
      <c r="H246" s="4177"/>
    </row>
    <row r="247" spans="1:8" ht="12.75" customHeight="1">
      <c r="C247" s="2621" t="s">
        <v>3477</v>
      </c>
      <c r="E247" s="4177" t="s">
        <v>3478</v>
      </c>
      <c r="F247" s="4177"/>
      <c r="G247" s="4177"/>
      <c r="H247" s="4177"/>
    </row>
    <row r="248" spans="1:8" ht="12.75" customHeight="1">
      <c r="C248" s="1077"/>
      <c r="D248" s="1076" t="s">
        <v>2821</v>
      </c>
      <c r="E248" s="4180" t="s">
        <v>3479</v>
      </c>
      <c r="F248" s="4180"/>
      <c r="G248" s="4180"/>
      <c r="H248" s="4180"/>
    </row>
    <row r="249" spans="1:8" ht="3" customHeight="1">
      <c r="D249" s="483"/>
      <c r="E249" s="2626"/>
      <c r="F249" s="2626"/>
      <c r="G249" s="2626"/>
      <c r="H249" s="2626"/>
    </row>
    <row r="250" spans="1:8" ht="12.75" customHeight="1">
      <c r="C250" s="461" t="s">
        <v>3474</v>
      </c>
      <c r="D250" s="483" t="s">
        <v>214</v>
      </c>
      <c r="E250" s="484"/>
      <c r="F250" s="480" t="s">
        <v>3475</v>
      </c>
      <c r="G250" s="480"/>
      <c r="H250" s="480"/>
    </row>
    <row r="251" spans="1:8" ht="12.75" customHeight="1">
      <c r="C251" s="485" t="s">
        <v>340</v>
      </c>
      <c r="D251" s="483" t="s">
        <v>222</v>
      </c>
      <c r="E251" s="4177" t="s">
        <v>3476</v>
      </c>
      <c r="F251" s="4177"/>
      <c r="G251" s="4177"/>
      <c r="H251" s="4177"/>
    </row>
    <row r="252" spans="1:8" ht="12.75" customHeight="1">
      <c r="C252" s="2621" t="s">
        <v>3477</v>
      </c>
      <c r="E252" s="4177" t="s">
        <v>3478</v>
      </c>
      <c r="F252" s="4177"/>
      <c r="G252" s="4177"/>
      <c r="H252" s="4177"/>
    </row>
    <row r="253" spans="1:8" ht="12.75" customHeight="1">
      <c r="C253" s="1077"/>
      <c r="D253" s="1076" t="s">
        <v>2821</v>
      </c>
      <c r="E253" s="4180" t="s">
        <v>3479</v>
      </c>
      <c r="F253" s="4180"/>
      <c r="G253" s="4180"/>
      <c r="H253" s="4180"/>
    </row>
    <row r="254" spans="1:8" ht="6" customHeight="1">
      <c r="D254" s="483"/>
      <c r="E254" s="2626"/>
      <c r="F254" s="2626"/>
      <c r="G254" s="2626"/>
      <c r="H254" s="2626"/>
    </row>
    <row r="255" spans="1:8">
      <c r="A255" s="464" t="s">
        <v>3471</v>
      </c>
      <c r="B255" s="481" t="str">
        <f>IF('Part V-Revenues &amp; Expenses'!$O$60=0,"",'Part V-Revenues &amp; Expenses'!$O$60)</f>
        <v/>
      </c>
      <c r="C255" s="464" t="s">
        <v>3486</v>
      </c>
      <c r="D255" s="482" t="s">
        <v>3487</v>
      </c>
    </row>
    <row r="256" spans="1:8" ht="2.1" customHeight="1"/>
    <row r="257" spans="1:11" ht="12.75" customHeight="1">
      <c r="C257" s="461" t="s">
        <v>3474</v>
      </c>
      <c r="D257" s="483" t="s">
        <v>214</v>
      </c>
      <c r="E257" s="484"/>
      <c r="F257" s="4177" t="s">
        <v>3475</v>
      </c>
      <c r="G257" s="4177"/>
      <c r="H257" s="4177"/>
      <c r="K257" s="314" t="s">
        <v>3016</v>
      </c>
    </row>
    <row r="258" spans="1:11" ht="12.75" customHeight="1">
      <c r="C258" s="485" t="s">
        <v>340</v>
      </c>
      <c r="D258" s="483" t="s">
        <v>222</v>
      </c>
      <c r="E258" s="4177" t="s">
        <v>3488</v>
      </c>
      <c r="F258" s="4177"/>
      <c r="G258" s="4177"/>
      <c r="H258" s="4177"/>
    </row>
    <row r="259" spans="1:11" ht="12.75" customHeight="1">
      <c r="E259" s="4177" t="s">
        <v>3478</v>
      </c>
      <c r="F259" s="4177"/>
      <c r="G259" s="4177"/>
      <c r="H259" s="4177"/>
    </row>
    <row r="260" spans="1:11" ht="12.75" customHeight="1">
      <c r="D260" s="486" t="s">
        <v>2821</v>
      </c>
      <c r="E260" s="4177" t="s">
        <v>3479</v>
      </c>
      <c r="F260" s="4177"/>
      <c r="G260" s="4177"/>
      <c r="H260" s="4177"/>
    </row>
    <row r="261" spans="1:11" ht="9" customHeight="1" thickBot="1"/>
    <row r="262" spans="1:11" ht="16.350000000000001" customHeight="1" thickBot="1">
      <c r="A262" s="4178">
        <v>50</v>
      </c>
      <c r="B262" s="4179"/>
      <c r="C262" s="1078" t="s">
        <v>1196</v>
      </c>
    </row>
    <row r="263" spans="1:11" ht="9" customHeight="1">
      <c r="A263" s="457"/>
    </row>
    <row r="264" spans="1:11" ht="28.35" customHeight="1">
      <c r="A264" s="4177" t="s">
        <v>3491</v>
      </c>
      <c r="B264" s="4177"/>
      <c r="C264" s="4177"/>
      <c r="D264" s="4177"/>
      <c r="E264" s="4177"/>
      <c r="F264" s="4177"/>
      <c r="G264" s="4177"/>
      <c r="H264" s="4177"/>
    </row>
    <row r="265" spans="1:11" ht="9" customHeight="1">
      <c r="A265" s="457"/>
    </row>
    <row r="266" spans="1:11">
      <c r="A266" s="464" t="s">
        <v>3471</v>
      </c>
      <c r="B266" s="481" t="str">
        <f>IF('Part V-Revenues &amp; Expenses'!$K$59=0,"",'Part V-Revenues &amp; Expenses'!$K$59)</f>
        <v/>
      </c>
      <c r="C266" s="464" t="s">
        <v>3472</v>
      </c>
      <c r="D266" s="482" t="s">
        <v>3473</v>
      </c>
    </row>
    <row r="267" spans="1:11" ht="2.1" customHeight="1"/>
    <row r="268" spans="1:11" ht="12.75" customHeight="1">
      <c r="C268" s="461" t="s">
        <v>3474</v>
      </c>
      <c r="D268" s="483" t="s">
        <v>214</v>
      </c>
      <c r="E268" s="484"/>
      <c r="F268" s="4177" t="s">
        <v>3475</v>
      </c>
      <c r="G268" s="4177"/>
      <c r="H268" s="4177"/>
    </row>
    <row r="269" spans="1:11" ht="12.75" customHeight="1">
      <c r="C269" s="485" t="s">
        <v>340</v>
      </c>
      <c r="D269" s="483" t="s">
        <v>222</v>
      </c>
      <c r="E269" s="4177" t="s">
        <v>3476</v>
      </c>
      <c r="F269" s="4177"/>
      <c r="G269" s="4177"/>
      <c r="H269" s="4177"/>
    </row>
    <row r="270" spans="1:11" ht="12.75" customHeight="1">
      <c r="C270" s="2621" t="s">
        <v>3477</v>
      </c>
      <c r="E270" s="4177" t="s">
        <v>3478</v>
      </c>
      <c r="F270" s="4177"/>
      <c r="G270" s="4177"/>
      <c r="H270" s="4177"/>
    </row>
    <row r="271" spans="1:11" ht="12.75" customHeight="1">
      <c r="C271" s="1077"/>
      <c r="D271" s="1076" t="s">
        <v>2821</v>
      </c>
      <c r="E271" s="4180" t="s">
        <v>3479</v>
      </c>
      <c r="F271" s="4180"/>
      <c r="G271" s="4180"/>
      <c r="H271" s="4180"/>
    </row>
    <row r="272" spans="1:11" ht="3" customHeight="1">
      <c r="D272" s="483"/>
      <c r="E272" s="2626"/>
      <c r="F272" s="2626"/>
      <c r="G272" s="2626"/>
      <c r="H272" s="2626"/>
    </row>
    <row r="273" spans="1:8" ht="12.75" customHeight="1">
      <c r="C273" s="461" t="s">
        <v>3474</v>
      </c>
      <c r="D273" s="483" t="s">
        <v>214</v>
      </c>
      <c r="E273" s="484"/>
      <c r="F273" s="480" t="s">
        <v>3475</v>
      </c>
      <c r="G273" s="480"/>
      <c r="H273" s="480"/>
    </row>
    <row r="274" spans="1:8" ht="12.75" customHeight="1">
      <c r="C274" s="485" t="s">
        <v>340</v>
      </c>
      <c r="D274" s="483" t="s">
        <v>222</v>
      </c>
      <c r="E274" s="4177" t="s">
        <v>3476</v>
      </c>
      <c r="F274" s="4177"/>
      <c r="G274" s="4177"/>
      <c r="H274" s="4177"/>
    </row>
    <row r="275" spans="1:8" ht="12.75" customHeight="1">
      <c r="C275" s="2621" t="s">
        <v>3477</v>
      </c>
      <c r="E275" s="4177" t="s">
        <v>3478</v>
      </c>
      <c r="F275" s="4177"/>
      <c r="G275" s="4177"/>
      <c r="H275" s="4177"/>
    </row>
    <row r="276" spans="1:8" ht="12.75" customHeight="1">
      <c r="C276" s="1077"/>
      <c r="D276" s="1076" t="s">
        <v>2821</v>
      </c>
      <c r="E276" s="4180" t="s">
        <v>3479</v>
      </c>
      <c r="F276" s="4180"/>
      <c r="G276" s="4180"/>
      <c r="H276" s="4180"/>
    </row>
    <row r="277" spans="1:8" ht="3" customHeight="1">
      <c r="D277" s="483"/>
      <c r="E277" s="2626"/>
      <c r="F277" s="2626"/>
      <c r="G277" s="2626"/>
      <c r="H277" s="2626"/>
    </row>
    <row r="278" spans="1:8" ht="12.75" customHeight="1">
      <c r="C278" s="461" t="s">
        <v>3474</v>
      </c>
      <c r="D278" s="483" t="s">
        <v>214</v>
      </c>
      <c r="E278" s="484"/>
      <c r="F278" s="480" t="s">
        <v>3475</v>
      </c>
      <c r="G278" s="480"/>
      <c r="H278" s="480"/>
    </row>
    <row r="279" spans="1:8" ht="12.75" customHeight="1">
      <c r="C279" s="485" t="s">
        <v>340</v>
      </c>
      <c r="D279" s="483" t="s">
        <v>222</v>
      </c>
      <c r="E279" s="4177" t="s">
        <v>3476</v>
      </c>
      <c r="F279" s="4177"/>
      <c r="G279" s="4177"/>
      <c r="H279" s="4177"/>
    </row>
    <row r="280" spans="1:8" ht="12.75" customHeight="1">
      <c r="C280" s="2621" t="s">
        <v>3477</v>
      </c>
      <c r="E280" s="4177" t="s">
        <v>3478</v>
      </c>
      <c r="F280" s="4177"/>
      <c r="G280" s="4177"/>
      <c r="H280" s="4177"/>
    </row>
    <row r="281" spans="1:8" ht="12.75" customHeight="1">
      <c r="C281" s="1077"/>
      <c r="D281" s="1076" t="s">
        <v>2821</v>
      </c>
      <c r="E281" s="4180" t="s">
        <v>3479</v>
      </c>
      <c r="F281" s="4180"/>
      <c r="G281" s="4180"/>
      <c r="H281" s="4180"/>
    </row>
    <row r="282" spans="1:8" ht="6" customHeight="1">
      <c r="D282" s="483"/>
      <c r="E282" s="2626"/>
      <c r="F282" s="2626"/>
      <c r="G282" s="2626"/>
      <c r="H282" s="2626"/>
    </row>
    <row r="283" spans="1:8">
      <c r="A283" s="464" t="s">
        <v>3471</v>
      </c>
      <c r="B283" s="481">
        <f>IF('Part V-Revenues &amp; Expenses'!$L$59=0,"",'Part V-Revenues &amp; Expenses'!$L$59)</f>
        <v>3</v>
      </c>
      <c r="C283" s="464" t="s">
        <v>3480</v>
      </c>
      <c r="D283" s="482" t="s">
        <v>3481</v>
      </c>
    </row>
    <row r="284" spans="1:8" ht="2.1" customHeight="1"/>
    <row r="285" spans="1:8" ht="12.75" customHeight="1">
      <c r="C285" s="461" t="s">
        <v>3474</v>
      </c>
      <c r="D285" s="483" t="s">
        <v>214</v>
      </c>
      <c r="E285" s="484"/>
      <c r="F285" s="480" t="s">
        <v>3475</v>
      </c>
      <c r="G285" s="480"/>
      <c r="H285" s="480"/>
    </row>
    <row r="286" spans="1:8" ht="12.75" customHeight="1">
      <c r="C286" s="485" t="s">
        <v>340</v>
      </c>
      <c r="D286" s="483" t="s">
        <v>222</v>
      </c>
      <c r="E286" s="4177" t="s">
        <v>3476</v>
      </c>
      <c r="F286" s="4177"/>
      <c r="G286" s="4177"/>
      <c r="H286" s="4177"/>
    </row>
    <row r="287" spans="1:8" ht="12.75" customHeight="1">
      <c r="C287" s="2621" t="s">
        <v>3477</v>
      </c>
      <c r="E287" s="4177" t="s">
        <v>3478</v>
      </c>
      <c r="F287" s="4177"/>
      <c r="G287" s="4177"/>
      <c r="H287" s="4177"/>
    </row>
    <row r="288" spans="1:8" ht="12.75" customHeight="1">
      <c r="C288" s="1077"/>
      <c r="D288" s="486" t="s">
        <v>2821</v>
      </c>
      <c r="E288" s="4177" t="s">
        <v>3479</v>
      </c>
      <c r="F288" s="4177"/>
      <c r="G288" s="4177"/>
      <c r="H288" s="4177"/>
    </row>
    <row r="289" spans="1:8" ht="3" customHeight="1">
      <c r="D289" s="483"/>
      <c r="E289" s="2626"/>
      <c r="F289" s="2626"/>
      <c r="G289" s="2626"/>
      <c r="H289" s="2626"/>
    </row>
    <row r="290" spans="1:8" ht="12.75" customHeight="1">
      <c r="C290" s="461" t="s">
        <v>3474</v>
      </c>
      <c r="D290" s="483" t="s">
        <v>214</v>
      </c>
      <c r="E290" s="484"/>
      <c r="F290" s="480" t="s">
        <v>3475</v>
      </c>
      <c r="G290" s="480"/>
      <c r="H290" s="480"/>
    </row>
    <row r="291" spans="1:8" ht="12.75" customHeight="1">
      <c r="C291" s="485" t="s">
        <v>340</v>
      </c>
      <c r="D291" s="483" t="s">
        <v>222</v>
      </c>
      <c r="E291" s="4177" t="s">
        <v>3476</v>
      </c>
      <c r="F291" s="4177"/>
      <c r="G291" s="4177"/>
      <c r="H291" s="4177"/>
    </row>
    <row r="292" spans="1:8" ht="12.75" customHeight="1">
      <c r="C292" s="2621" t="s">
        <v>3477</v>
      </c>
      <c r="E292" s="4177" t="s">
        <v>3478</v>
      </c>
      <c r="F292" s="4177"/>
      <c r="G292" s="4177"/>
      <c r="H292" s="4177"/>
    </row>
    <row r="293" spans="1:8" ht="12.75" customHeight="1">
      <c r="C293" s="1077"/>
      <c r="D293" s="1076" t="s">
        <v>2821</v>
      </c>
      <c r="E293" s="4180" t="s">
        <v>3479</v>
      </c>
      <c r="F293" s="4180"/>
      <c r="G293" s="4180"/>
      <c r="H293" s="4180"/>
    </row>
    <row r="294" spans="1:8" ht="3" customHeight="1">
      <c r="D294" s="483"/>
      <c r="E294" s="2626"/>
      <c r="F294" s="2626"/>
      <c r="G294" s="2626"/>
      <c r="H294" s="2626"/>
    </row>
    <row r="295" spans="1:8" ht="12.75" customHeight="1">
      <c r="C295" s="461" t="s">
        <v>3474</v>
      </c>
      <c r="D295" s="483" t="s">
        <v>214</v>
      </c>
      <c r="E295" s="484"/>
      <c r="F295" s="480" t="s">
        <v>3475</v>
      </c>
      <c r="G295" s="480"/>
      <c r="H295" s="480"/>
    </row>
    <row r="296" spans="1:8" ht="12.75" customHeight="1">
      <c r="C296" s="485" t="s">
        <v>340</v>
      </c>
      <c r="D296" s="483" t="s">
        <v>222</v>
      </c>
      <c r="E296" s="4177" t="s">
        <v>3476</v>
      </c>
      <c r="F296" s="4177"/>
      <c r="G296" s="4177"/>
      <c r="H296" s="4177"/>
    </row>
    <row r="297" spans="1:8" ht="12.75" customHeight="1">
      <c r="C297" s="2621" t="s">
        <v>3477</v>
      </c>
      <c r="E297" s="4177" t="s">
        <v>3478</v>
      </c>
      <c r="F297" s="4177"/>
      <c r="G297" s="4177"/>
      <c r="H297" s="4177"/>
    </row>
    <row r="298" spans="1:8" ht="12.75" customHeight="1">
      <c r="C298" s="1077"/>
      <c r="D298" s="1076" t="s">
        <v>2821</v>
      </c>
      <c r="E298" s="4180" t="s">
        <v>3479</v>
      </c>
      <c r="F298" s="4180"/>
      <c r="G298" s="4180"/>
      <c r="H298" s="4180"/>
    </row>
    <row r="299" spans="1:8" ht="6" customHeight="1">
      <c r="D299" s="483"/>
      <c r="E299" s="2626"/>
      <c r="F299" s="2626"/>
      <c r="G299" s="2626"/>
      <c r="H299" s="2626"/>
    </row>
    <row r="300" spans="1:8">
      <c r="A300" s="464" t="s">
        <v>3471</v>
      </c>
      <c r="B300" s="481">
        <f>IF('Part V-Revenues &amp; Expenses'!$M$59=0,"",'Part V-Revenues &amp; Expenses'!$M$59)</f>
        <v>7</v>
      </c>
      <c r="C300" s="464" t="s">
        <v>3482</v>
      </c>
      <c r="D300" s="482" t="s">
        <v>3483</v>
      </c>
    </row>
    <row r="301" spans="1:8" ht="2.1" customHeight="1"/>
    <row r="302" spans="1:8" ht="12.75" customHeight="1">
      <c r="C302" s="461" t="s">
        <v>3474</v>
      </c>
      <c r="D302" s="483" t="s">
        <v>214</v>
      </c>
      <c r="E302" s="484"/>
      <c r="F302" s="480" t="s">
        <v>3475</v>
      </c>
      <c r="G302" s="480"/>
      <c r="H302" s="480"/>
    </row>
    <row r="303" spans="1:8" ht="12.75" customHeight="1">
      <c r="C303" s="485" t="s">
        <v>340</v>
      </c>
      <c r="D303" s="483" t="s">
        <v>222</v>
      </c>
      <c r="E303" s="4177" t="s">
        <v>3476</v>
      </c>
      <c r="F303" s="4177"/>
      <c r="G303" s="4177"/>
      <c r="H303" s="4177"/>
    </row>
    <row r="304" spans="1:8" ht="12.75" customHeight="1">
      <c r="C304" s="2621" t="s">
        <v>3477</v>
      </c>
      <c r="E304" s="4177" t="s">
        <v>3478</v>
      </c>
      <c r="F304" s="4177"/>
      <c r="G304" s="4177"/>
      <c r="H304" s="4177"/>
    </row>
    <row r="305" spans="1:8" ht="12.75" customHeight="1">
      <c r="C305" s="1077"/>
      <c r="D305" s="486" t="s">
        <v>2821</v>
      </c>
      <c r="E305" s="4177" t="s">
        <v>3479</v>
      </c>
      <c r="F305" s="4177"/>
      <c r="G305" s="4177"/>
      <c r="H305" s="4177"/>
    </row>
    <row r="306" spans="1:8" ht="3" customHeight="1">
      <c r="D306" s="483"/>
      <c r="E306" s="2626"/>
      <c r="F306" s="2626"/>
      <c r="G306" s="2626"/>
      <c r="H306" s="2626"/>
    </row>
    <row r="307" spans="1:8" ht="12.75" customHeight="1">
      <c r="C307" s="461" t="s">
        <v>3474</v>
      </c>
      <c r="D307" s="483" t="s">
        <v>214</v>
      </c>
      <c r="E307" s="484"/>
      <c r="F307" s="480" t="s">
        <v>3475</v>
      </c>
      <c r="G307" s="480"/>
      <c r="H307" s="480"/>
    </row>
    <row r="308" spans="1:8" ht="12.75" customHeight="1">
      <c r="C308" s="485" t="s">
        <v>340</v>
      </c>
      <c r="D308" s="483" t="s">
        <v>222</v>
      </c>
      <c r="E308" s="4177" t="s">
        <v>3476</v>
      </c>
      <c r="F308" s="4177"/>
      <c r="G308" s="4177"/>
      <c r="H308" s="4177"/>
    </row>
    <row r="309" spans="1:8" ht="12.75" customHeight="1">
      <c r="C309" s="2621" t="s">
        <v>3477</v>
      </c>
      <c r="E309" s="4177" t="s">
        <v>3478</v>
      </c>
      <c r="F309" s="4177"/>
      <c r="G309" s="4177"/>
      <c r="H309" s="4177"/>
    </row>
    <row r="310" spans="1:8" ht="12.75" customHeight="1">
      <c r="C310" s="1077"/>
      <c r="D310" s="1076" t="s">
        <v>2821</v>
      </c>
      <c r="E310" s="4180" t="s">
        <v>3479</v>
      </c>
      <c r="F310" s="4180"/>
      <c r="G310" s="4180"/>
      <c r="H310" s="4180"/>
    </row>
    <row r="311" spans="1:8" ht="3" customHeight="1">
      <c r="D311" s="483"/>
      <c r="E311" s="2626"/>
      <c r="F311" s="2626"/>
      <c r="G311" s="2626"/>
      <c r="H311" s="2626"/>
    </row>
    <row r="312" spans="1:8" ht="12.75" customHeight="1">
      <c r="C312" s="461" t="s">
        <v>3474</v>
      </c>
      <c r="D312" s="483" t="s">
        <v>214</v>
      </c>
      <c r="E312" s="484"/>
      <c r="F312" s="480" t="s">
        <v>3475</v>
      </c>
      <c r="G312" s="480"/>
      <c r="H312" s="480"/>
    </row>
    <row r="313" spans="1:8" ht="12.75" customHeight="1">
      <c r="C313" s="485" t="s">
        <v>340</v>
      </c>
      <c r="D313" s="483" t="s">
        <v>222</v>
      </c>
      <c r="E313" s="4177" t="s">
        <v>3476</v>
      </c>
      <c r="F313" s="4177"/>
      <c r="G313" s="4177"/>
      <c r="H313" s="4177"/>
    </row>
    <row r="314" spans="1:8" ht="12.75" customHeight="1">
      <c r="C314" s="2621" t="s">
        <v>3477</v>
      </c>
      <c r="E314" s="4177" t="s">
        <v>3478</v>
      </c>
      <c r="F314" s="4177"/>
      <c r="G314" s="4177"/>
      <c r="H314" s="4177"/>
    </row>
    <row r="315" spans="1:8" ht="12.75" customHeight="1">
      <c r="C315" s="1077"/>
      <c r="D315" s="1076" t="s">
        <v>2821</v>
      </c>
      <c r="E315" s="4180" t="s">
        <v>3479</v>
      </c>
      <c r="F315" s="4180"/>
      <c r="G315" s="4180"/>
      <c r="H315" s="4180"/>
    </row>
    <row r="316" spans="1:8" ht="6" customHeight="1">
      <c r="D316" s="483"/>
      <c r="E316" s="2626"/>
      <c r="F316" s="2626"/>
      <c r="G316" s="2626"/>
      <c r="H316" s="2626"/>
    </row>
    <row r="317" spans="1:8">
      <c r="A317" s="464" t="s">
        <v>3471</v>
      </c>
      <c r="B317" s="481">
        <f>IF('Part V-Revenues &amp; Expenses'!$N$59=0,"",'Part V-Revenues &amp; Expenses'!$N$59)</f>
        <v>2</v>
      </c>
      <c r="C317" s="464" t="s">
        <v>3484</v>
      </c>
      <c r="D317" s="482" t="s">
        <v>3485</v>
      </c>
    </row>
    <row r="318" spans="1:8" ht="2.1" customHeight="1"/>
    <row r="319" spans="1:8" ht="12.75" customHeight="1">
      <c r="C319" s="461" t="s">
        <v>3474</v>
      </c>
      <c r="D319" s="483" t="s">
        <v>214</v>
      </c>
      <c r="E319" s="484"/>
      <c r="F319" s="480" t="s">
        <v>3475</v>
      </c>
      <c r="G319" s="480"/>
      <c r="H319" s="480"/>
    </row>
    <row r="320" spans="1:8" ht="12.75" customHeight="1">
      <c r="C320" s="485" t="s">
        <v>340</v>
      </c>
      <c r="D320" s="483" t="s">
        <v>222</v>
      </c>
      <c r="E320" s="4177" t="s">
        <v>3476</v>
      </c>
      <c r="F320" s="4177"/>
      <c r="G320" s="4177"/>
      <c r="H320" s="4177"/>
    </row>
    <row r="321" spans="1:11" ht="12.75" customHeight="1">
      <c r="C321" s="2621" t="s">
        <v>3477</v>
      </c>
      <c r="E321" s="4177" t="s">
        <v>3478</v>
      </c>
      <c r="F321" s="4177"/>
      <c r="G321" s="4177"/>
      <c r="H321" s="4177"/>
    </row>
    <row r="322" spans="1:11" ht="12.75" customHeight="1">
      <c r="C322" s="1077"/>
      <c r="D322" s="486" t="s">
        <v>2821</v>
      </c>
      <c r="E322" s="4177" t="s">
        <v>3479</v>
      </c>
      <c r="F322" s="4177"/>
      <c r="G322" s="4177"/>
      <c r="H322" s="4177"/>
    </row>
    <row r="323" spans="1:11" ht="3" customHeight="1">
      <c r="D323" s="483"/>
      <c r="E323" s="2626"/>
      <c r="F323" s="2626"/>
      <c r="G323" s="2626"/>
      <c r="H323" s="2626"/>
    </row>
    <row r="324" spans="1:11" ht="12.75" customHeight="1">
      <c r="C324" s="461" t="s">
        <v>3474</v>
      </c>
      <c r="D324" s="483" t="s">
        <v>214</v>
      </c>
      <c r="E324" s="484"/>
      <c r="F324" s="480" t="s">
        <v>3475</v>
      </c>
      <c r="G324" s="480"/>
      <c r="H324" s="480"/>
    </row>
    <row r="325" spans="1:11" ht="12.75" customHeight="1">
      <c r="C325" s="485" t="s">
        <v>340</v>
      </c>
      <c r="D325" s="483" t="s">
        <v>222</v>
      </c>
      <c r="E325" s="4177" t="s">
        <v>3476</v>
      </c>
      <c r="F325" s="4177"/>
      <c r="G325" s="4177"/>
      <c r="H325" s="4177"/>
    </row>
    <row r="326" spans="1:11" ht="12.75" customHeight="1">
      <c r="C326" s="2621" t="s">
        <v>3477</v>
      </c>
      <c r="E326" s="4177" t="s">
        <v>3478</v>
      </c>
      <c r="F326" s="4177"/>
      <c r="G326" s="4177"/>
      <c r="H326" s="4177"/>
    </row>
    <row r="327" spans="1:11" ht="12.75" customHeight="1">
      <c r="C327" s="1077"/>
      <c r="D327" s="1076" t="s">
        <v>2821</v>
      </c>
      <c r="E327" s="4180" t="s">
        <v>3479</v>
      </c>
      <c r="F327" s="4180"/>
      <c r="G327" s="4180"/>
      <c r="H327" s="4180"/>
    </row>
    <row r="328" spans="1:11" ht="3" customHeight="1">
      <c r="D328" s="483"/>
      <c r="E328" s="2626"/>
      <c r="F328" s="2626"/>
      <c r="G328" s="2626"/>
      <c r="H328" s="2626"/>
    </row>
    <row r="329" spans="1:11" ht="12.75" customHeight="1">
      <c r="C329" s="461" t="s">
        <v>3474</v>
      </c>
      <c r="D329" s="483" t="s">
        <v>214</v>
      </c>
      <c r="E329" s="484"/>
      <c r="F329" s="480" t="s">
        <v>3475</v>
      </c>
      <c r="G329" s="480"/>
      <c r="H329" s="480"/>
    </row>
    <row r="330" spans="1:11" ht="12.75" customHeight="1">
      <c r="C330" s="485" t="s">
        <v>340</v>
      </c>
      <c r="D330" s="483" t="s">
        <v>222</v>
      </c>
      <c r="E330" s="4177" t="s">
        <v>3476</v>
      </c>
      <c r="F330" s="4177"/>
      <c r="G330" s="4177"/>
      <c r="H330" s="4177"/>
    </row>
    <row r="331" spans="1:11" ht="12.75" customHeight="1">
      <c r="C331" s="2621" t="s">
        <v>3477</v>
      </c>
      <c r="E331" s="4177" t="s">
        <v>3478</v>
      </c>
      <c r="F331" s="4177"/>
      <c r="G331" s="4177"/>
      <c r="H331" s="4177"/>
    </row>
    <row r="332" spans="1:11" ht="12.75" customHeight="1">
      <c r="C332" s="1077"/>
      <c r="D332" s="1076" t="s">
        <v>2821</v>
      </c>
      <c r="E332" s="4180" t="s">
        <v>3479</v>
      </c>
      <c r="F332" s="4180"/>
      <c r="G332" s="4180"/>
      <c r="H332" s="4180"/>
    </row>
    <row r="333" spans="1:11" ht="6" customHeight="1">
      <c r="D333" s="483"/>
      <c r="E333" s="2626"/>
      <c r="F333" s="2626"/>
      <c r="G333" s="2626"/>
      <c r="H333" s="2626"/>
    </row>
    <row r="334" spans="1:11">
      <c r="A334" s="464" t="s">
        <v>3471</v>
      </c>
      <c r="B334" s="481" t="str">
        <f>IF('Part V-Revenues &amp; Expenses'!$O$59=0,"",'Part V-Revenues &amp; Expenses'!$O$59)</f>
        <v/>
      </c>
      <c r="C334" s="464" t="s">
        <v>3486</v>
      </c>
      <c r="D334" s="482" t="s">
        <v>3487</v>
      </c>
    </row>
    <row r="335" spans="1:11" ht="2.1" customHeight="1"/>
    <row r="336" spans="1:11" ht="12.75" customHeight="1">
      <c r="C336" s="461" t="s">
        <v>3474</v>
      </c>
      <c r="D336" s="483" t="s">
        <v>214</v>
      </c>
      <c r="E336" s="484"/>
      <c r="F336" s="4177" t="s">
        <v>3475</v>
      </c>
      <c r="G336" s="4177"/>
      <c r="H336" s="4177"/>
      <c r="K336" s="314" t="s">
        <v>3016</v>
      </c>
    </row>
    <row r="337" spans="1:8" ht="12.75" customHeight="1">
      <c r="C337" s="485" t="s">
        <v>340</v>
      </c>
      <c r="D337" s="483" t="s">
        <v>222</v>
      </c>
      <c r="E337" s="4177" t="s">
        <v>3488</v>
      </c>
      <c r="F337" s="4177"/>
      <c r="G337" s="4177"/>
      <c r="H337" s="4177"/>
    </row>
    <row r="338" spans="1:8" ht="12.75" customHeight="1">
      <c r="E338" s="4177" t="s">
        <v>3478</v>
      </c>
      <c r="F338" s="4177"/>
      <c r="G338" s="4177"/>
      <c r="H338" s="4177"/>
    </row>
    <row r="339" spans="1:8" ht="12.75" customHeight="1">
      <c r="D339" s="486" t="s">
        <v>2821</v>
      </c>
      <c r="E339" s="4177" t="s">
        <v>3479</v>
      </c>
      <c r="F339" s="4177"/>
      <c r="G339" s="4177"/>
      <c r="H339" s="4177"/>
    </row>
    <row r="340" spans="1:8" ht="9" customHeight="1"/>
    <row r="341" spans="1:8" ht="7.5" customHeight="1" thickBot="1">
      <c r="E341" s="4177"/>
      <c r="F341" s="4177"/>
      <c r="G341" s="4177"/>
      <c r="H341" s="4177"/>
    </row>
    <row r="342" spans="1:8" ht="16.350000000000001" customHeight="1" thickBot="1">
      <c r="A342" s="4178">
        <v>60</v>
      </c>
      <c r="B342" s="4179"/>
      <c r="C342" s="1078" t="s">
        <v>1196</v>
      </c>
    </row>
    <row r="343" spans="1:8" ht="9" customHeight="1">
      <c r="A343" s="457"/>
    </row>
    <row r="344" spans="1:8" ht="28.35" customHeight="1">
      <c r="A344" s="4177" t="s">
        <v>3492</v>
      </c>
      <c r="B344" s="4177"/>
      <c r="C344" s="4177"/>
      <c r="D344" s="4177"/>
      <c r="E344" s="4177"/>
      <c r="F344" s="4177"/>
      <c r="G344" s="4177"/>
      <c r="H344" s="4177"/>
    </row>
    <row r="345" spans="1:8" ht="9" customHeight="1">
      <c r="A345" s="457"/>
    </row>
    <row r="346" spans="1:8">
      <c r="A346" s="464" t="s">
        <v>3471</v>
      </c>
      <c r="B346" s="481" t="str">
        <f>IF('Part V-Revenues &amp; Expenses'!$K$58=0,"",'Part V-Revenues &amp; Expenses'!$K$58)</f>
        <v/>
      </c>
      <c r="C346" s="464" t="s">
        <v>3472</v>
      </c>
      <c r="D346" s="482" t="s">
        <v>3473</v>
      </c>
    </row>
    <row r="347" spans="1:8" ht="2.1" customHeight="1"/>
    <row r="348" spans="1:8" ht="12.75" customHeight="1">
      <c r="C348" s="461" t="s">
        <v>3474</v>
      </c>
      <c r="D348" s="483" t="s">
        <v>214</v>
      </c>
      <c r="E348" s="484"/>
      <c r="F348" s="4177" t="s">
        <v>3475</v>
      </c>
      <c r="G348" s="4177"/>
      <c r="H348" s="4177"/>
    </row>
    <row r="349" spans="1:8" ht="12.75" customHeight="1">
      <c r="C349" s="485" t="s">
        <v>340</v>
      </c>
      <c r="D349" s="483" t="s">
        <v>222</v>
      </c>
      <c r="E349" s="4177" t="s">
        <v>3476</v>
      </c>
      <c r="F349" s="4177"/>
      <c r="G349" s="4177"/>
      <c r="H349" s="4177"/>
    </row>
    <row r="350" spans="1:8" ht="12.75" customHeight="1">
      <c r="C350" s="2621" t="s">
        <v>3477</v>
      </c>
      <c r="E350" s="4177" t="s">
        <v>3478</v>
      </c>
      <c r="F350" s="4177"/>
      <c r="G350" s="4177"/>
      <c r="H350" s="4177"/>
    </row>
    <row r="351" spans="1:8" ht="12.75" customHeight="1">
      <c r="C351" s="1077"/>
      <c r="D351" s="1076" t="s">
        <v>2821</v>
      </c>
      <c r="E351" s="4180" t="s">
        <v>3479</v>
      </c>
      <c r="F351" s="4180"/>
      <c r="G351" s="4180"/>
      <c r="H351" s="4180"/>
    </row>
    <row r="352" spans="1:8" ht="3" customHeight="1">
      <c r="D352" s="483"/>
      <c r="E352" s="2626"/>
      <c r="F352" s="2626"/>
      <c r="G352" s="2626"/>
      <c r="H352" s="2626"/>
    </row>
    <row r="353" spans="1:8" ht="12.75" customHeight="1">
      <c r="C353" s="461" t="s">
        <v>3474</v>
      </c>
      <c r="D353" s="483" t="s">
        <v>214</v>
      </c>
      <c r="E353" s="484"/>
      <c r="F353" s="480" t="s">
        <v>3475</v>
      </c>
      <c r="G353" s="480"/>
      <c r="H353" s="480"/>
    </row>
    <row r="354" spans="1:8" ht="12.75" customHeight="1">
      <c r="C354" s="485" t="s">
        <v>340</v>
      </c>
      <c r="D354" s="483" t="s">
        <v>222</v>
      </c>
      <c r="E354" s="4177" t="s">
        <v>3476</v>
      </c>
      <c r="F354" s="4177"/>
      <c r="G354" s="4177"/>
      <c r="H354" s="4177"/>
    </row>
    <row r="355" spans="1:8" ht="12.75" customHeight="1">
      <c r="C355" s="2621" t="s">
        <v>3477</v>
      </c>
      <c r="E355" s="4177" t="s">
        <v>3478</v>
      </c>
      <c r="F355" s="4177"/>
      <c r="G355" s="4177"/>
      <c r="H355" s="4177"/>
    </row>
    <row r="356" spans="1:8" ht="12.75" customHeight="1">
      <c r="C356" s="1077"/>
      <c r="D356" s="1076" t="s">
        <v>2821</v>
      </c>
      <c r="E356" s="4180" t="s">
        <v>3479</v>
      </c>
      <c r="F356" s="4180"/>
      <c r="G356" s="4180"/>
      <c r="H356" s="4180"/>
    </row>
    <row r="357" spans="1:8" ht="3" customHeight="1">
      <c r="D357" s="483"/>
      <c r="E357" s="2626"/>
      <c r="F357" s="2626"/>
      <c r="G357" s="2626"/>
      <c r="H357" s="2626"/>
    </row>
    <row r="358" spans="1:8" ht="12.75" customHeight="1">
      <c r="C358" s="461" t="s">
        <v>3474</v>
      </c>
      <c r="D358" s="483" t="s">
        <v>214</v>
      </c>
      <c r="E358" s="484"/>
      <c r="F358" s="480" t="s">
        <v>3475</v>
      </c>
      <c r="G358" s="480"/>
      <c r="H358" s="480"/>
    </row>
    <row r="359" spans="1:8" ht="12.75" customHeight="1">
      <c r="C359" s="485" t="s">
        <v>340</v>
      </c>
      <c r="D359" s="483" t="s">
        <v>222</v>
      </c>
      <c r="E359" s="4177" t="s">
        <v>3476</v>
      </c>
      <c r="F359" s="4177"/>
      <c r="G359" s="4177"/>
      <c r="H359" s="4177"/>
    </row>
    <row r="360" spans="1:8" ht="12.75" customHeight="1">
      <c r="C360" s="2621" t="s">
        <v>3477</v>
      </c>
      <c r="E360" s="4177" t="s">
        <v>3478</v>
      </c>
      <c r="F360" s="4177"/>
      <c r="G360" s="4177"/>
      <c r="H360" s="4177"/>
    </row>
    <row r="361" spans="1:8" ht="12.75" customHeight="1">
      <c r="C361" s="1077"/>
      <c r="D361" s="1076" t="s">
        <v>2821</v>
      </c>
      <c r="E361" s="4180" t="s">
        <v>3479</v>
      </c>
      <c r="F361" s="4180"/>
      <c r="G361" s="4180"/>
      <c r="H361" s="4180"/>
    </row>
    <row r="362" spans="1:8" ht="6" customHeight="1">
      <c r="D362" s="483"/>
      <c r="E362" s="2626"/>
      <c r="F362" s="2626"/>
      <c r="G362" s="2626"/>
      <c r="H362" s="2626"/>
    </row>
    <row r="363" spans="1:8">
      <c r="A363" s="464" t="s">
        <v>3471</v>
      </c>
      <c r="B363" s="481">
        <f>IF('Part V-Revenues &amp; Expenses'!$L$58=0,"",'Part V-Revenues &amp; Expenses'!$L$58)</f>
        <v>18</v>
      </c>
      <c r="C363" s="464" t="s">
        <v>3480</v>
      </c>
      <c r="D363" s="482" t="s">
        <v>3481</v>
      </c>
    </row>
    <row r="364" spans="1:8" ht="2.1" customHeight="1"/>
    <row r="365" spans="1:8" ht="12.75" customHeight="1">
      <c r="C365" s="461" t="s">
        <v>3474</v>
      </c>
      <c r="D365" s="483" t="s">
        <v>214</v>
      </c>
      <c r="E365" s="484"/>
      <c r="F365" s="480" t="s">
        <v>3475</v>
      </c>
      <c r="G365" s="480"/>
      <c r="H365" s="480"/>
    </row>
    <row r="366" spans="1:8" ht="12.75" customHeight="1">
      <c r="C366" s="485" t="s">
        <v>340</v>
      </c>
      <c r="D366" s="483" t="s">
        <v>222</v>
      </c>
      <c r="E366" s="4177" t="s">
        <v>3476</v>
      </c>
      <c r="F366" s="4177"/>
      <c r="G366" s="4177"/>
      <c r="H366" s="4177"/>
    </row>
    <row r="367" spans="1:8" ht="12.75" customHeight="1">
      <c r="C367" s="2621" t="s">
        <v>3477</v>
      </c>
      <c r="E367" s="4177" t="s">
        <v>3478</v>
      </c>
      <c r="F367" s="4177"/>
      <c r="G367" s="4177"/>
      <c r="H367" s="4177"/>
    </row>
    <row r="368" spans="1:8" ht="12.75" customHeight="1">
      <c r="C368" s="1077"/>
      <c r="D368" s="486" t="s">
        <v>2821</v>
      </c>
      <c r="E368" s="4177" t="s">
        <v>3479</v>
      </c>
      <c r="F368" s="4177"/>
      <c r="G368" s="4177"/>
      <c r="H368" s="4177"/>
    </row>
    <row r="369" spans="1:8" ht="3" customHeight="1">
      <c r="D369" s="483"/>
      <c r="E369" s="2626"/>
      <c r="F369" s="2626"/>
      <c r="G369" s="2626"/>
      <c r="H369" s="2626"/>
    </row>
    <row r="370" spans="1:8" ht="12.75" customHeight="1">
      <c r="C370" s="461" t="s">
        <v>3474</v>
      </c>
      <c r="D370" s="483" t="s">
        <v>214</v>
      </c>
      <c r="E370" s="484"/>
      <c r="F370" s="480" t="s">
        <v>3475</v>
      </c>
      <c r="G370" s="480"/>
      <c r="H370" s="480"/>
    </row>
    <row r="371" spans="1:8" ht="12.75" customHeight="1">
      <c r="C371" s="485" t="s">
        <v>340</v>
      </c>
      <c r="D371" s="483" t="s">
        <v>222</v>
      </c>
      <c r="E371" s="4177" t="s">
        <v>3476</v>
      </c>
      <c r="F371" s="4177"/>
      <c r="G371" s="4177"/>
      <c r="H371" s="4177"/>
    </row>
    <row r="372" spans="1:8" ht="12.75" customHeight="1">
      <c r="C372" s="2621" t="s">
        <v>3477</v>
      </c>
      <c r="E372" s="4177" t="s">
        <v>3478</v>
      </c>
      <c r="F372" s="4177"/>
      <c r="G372" s="4177"/>
      <c r="H372" s="4177"/>
    </row>
    <row r="373" spans="1:8" ht="12.75" customHeight="1">
      <c r="C373" s="1077"/>
      <c r="D373" s="1076" t="s">
        <v>2821</v>
      </c>
      <c r="E373" s="4180" t="s">
        <v>3479</v>
      </c>
      <c r="F373" s="4180"/>
      <c r="G373" s="4180"/>
      <c r="H373" s="4180"/>
    </row>
    <row r="374" spans="1:8" ht="3" customHeight="1">
      <c r="D374" s="483"/>
      <c r="E374" s="2626"/>
      <c r="F374" s="2626"/>
      <c r="G374" s="2626"/>
      <c r="H374" s="2626"/>
    </row>
    <row r="375" spans="1:8" ht="12.75" customHeight="1">
      <c r="C375" s="461" t="s">
        <v>3474</v>
      </c>
      <c r="D375" s="483" t="s">
        <v>214</v>
      </c>
      <c r="E375" s="484"/>
      <c r="F375" s="480" t="s">
        <v>3475</v>
      </c>
      <c r="G375" s="480"/>
      <c r="H375" s="480"/>
    </row>
    <row r="376" spans="1:8" ht="12.75" customHeight="1">
      <c r="C376" s="485" t="s">
        <v>340</v>
      </c>
      <c r="D376" s="483" t="s">
        <v>222</v>
      </c>
      <c r="E376" s="4177" t="s">
        <v>3476</v>
      </c>
      <c r="F376" s="4177"/>
      <c r="G376" s="4177"/>
      <c r="H376" s="4177"/>
    </row>
    <row r="377" spans="1:8" ht="12.75" customHeight="1">
      <c r="C377" s="2621" t="s">
        <v>3477</v>
      </c>
      <c r="E377" s="4177" t="s">
        <v>3478</v>
      </c>
      <c r="F377" s="4177"/>
      <c r="G377" s="4177"/>
      <c r="H377" s="4177"/>
    </row>
    <row r="378" spans="1:8" ht="12.75" customHeight="1">
      <c r="C378" s="1077"/>
      <c r="D378" s="1076" t="s">
        <v>2821</v>
      </c>
      <c r="E378" s="4180" t="s">
        <v>3479</v>
      </c>
      <c r="F378" s="4180"/>
      <c r="G378" s="4180"/>
      <c r="H378" s="4180"/>
    </row>
    <row r="379" spans="1:8" ht="6" customHeight="1">
      <c r="D379" s="483"/>
      <c r="E379" s="2626"/>
      <c r="F379" s="2626"/>
      <c r="G379" s="2626"/>
      <c r="H379" s="2626"/>
    </row>
    <row r="380" spans="1:8">
      <c r="A380" s="464" t="s">
        <v>3471</v>
      </c>
      <c r="B380" s="481">
        <f>IF('Part V-Revenues &amp; Expenses'!$M$58=0,"",'Part V-Revenues &amp; Expenses'!$M$58)</f>
        <v>22</v>
      </c>
      <c r="C380" s="464" t="s">
        <v>3482</v>
      </c>
      <c r="D380" s="482" t="s">
        <v>3483</v>
      </c>
    </row>
    <row r="381" spans="1:8" ht="2.1" customHeight="1"/>
    <row r="382" spans="1:8" ht="12.75" customHeight="1">
      <c r="C382" s="461" t="s">
        <v>3474</v>
      </c>
      <c r="D382" s="483" t="s">
        <v>214</v>
      </c>
      <c r="E382" s="484"/>
      <c r="F382" s="480" t="s">
        <v>3475</v>
      </c>
      <c r="G382" s="480"/>
      <c r="H382" s="480"/>
    </row>
    <row r="383" spans="1:8" ht="12.75" customHeight="1">
      <c r="C383" s="485" t="s">
        <v>340</v>
      </c>
      <c r="D383" s="483" t="s">
        <v>222</v>
      </c>
      <c r="E383" s="4177" t="s">
        <v>3476</v>
      </c>
      <c r="F383" s="4177"/>
      <c r="G383" s="4177"/>
      <c r="H383" s="4177"/>
    </row>
    <row r="384" spans="1:8" ht="12.75" customHeight="1">
      <c r="C384" s="2621" t="s">
        <v>3477</v>
      </c>
      <c r="E384" s="4177" t="s">
        <v>3478</v>
      </c>
      <c r="F384" s="4177"/>
      <c r="G384" s="4177"/>
      <c r="H384" s="4177"/>
    </row>
    <row r="385" spans="1:8" ht="12.75" customHeight="1">
      <c r="C385" s="1077"/>
      <c r="D385" s="486" t="s">
        <v>2821</v>
      </c>
      <c r="E385" s="4177" t="s">
        <v>3479</v>
      </c>
      <c r="F385" s="4177"/>
      <c r="G385" s="4177"/>
      <c r="H385" s="4177"/>
    </row>
    <row r="386" spans="1:8" ht="3" customHeight="1">
      <c r="D386" s="483"/>
      <c r="E386" s="2626"/>
      <c r="F386" s="2626"/>
      <c r="G386" s="2626"/>
      <c r="H386" s="2626"/>
    </row>
    <row r="387" spans="1:8" ht="12.75" customHeight="1">
      <c r="C387" s="461" t="s">
        <v>3474</v>
      </c>
      <c r="D387" s="483" t="s">
        <v>214</v>
      </c>
      <c r="E387" s="484"/>
      <c r="F387" s="480" t="s">
        <v>3475</v>
      </c>
      <c r="G387" s="480"/>
      <c r="H387" s="480"/>
    </row>
    <row r="388" spans="1:8" ht="12.75" customHeight="1">
      <c r="C388" s="485" t="s">
        <v>340</v>
      </c>
      <c r="D388" s="483" t="s">
        <v>222</v>
      </c>
      <c r="E388" s="4177" t="s">
        <v>3476</v>
      </c>
      <c r="F388" s="4177"/>
      <c r="G388" s="4177"/>
      <c r="H388" s="4177"/>
    </row>
    <row r="389" spans="1:8" ht="12.75" customHeight="1">
      <c r="C389" s="2621" t="s">
        <v>3477</v>
      </c>
      <c r="E389" s="4177" t="s">
        <v>3478</v>
      </c>
      <c r="F389" s="4177"/>
      <c r="G389" s="4177"/>
      <c r="H389" s="4177"/>
    </row>
    <row r="390" spans="1:8" ht="12.75" customHeight="1">
      <c r="C390" s="1077"/>
      <c r="D390" s="1076" t="s">
        <v>2821</v>
      </c>
      <c r="E390" s="4180" t="s">
        <v>3479</v>
      </c>
      <c r="F390" s="4180"/>
      <c r="G390" s="4180"/>
      <c r="H390" s="4180"/>
    </row>
    <row r="391" spans="1:8" ht="3" customHeight="1">
      <c r="D391" s="483"/>
      <c r="E391" s="2626"/>
      <c r="F391" s="2626"/>
      <c r="G391" s="2626"/>
      <c r="H391" s="2626"/>
    </row>
    <row r="392" spans="1:8" ht="12.75" customHeight="1">
      <c r="C392" s="461" t="s">
        <v>3474</v>
      </c>
      <c r="D392" s="483" t="s">
        <v>214</v>
      </c>
      <c r="E392" s="484"/>
      <c r="F392" s="480" t="s">
        <v>3475</v>
      </c>
      <c r="G392" s="480"/>
      <c r="H392" s="480"/>
    </row>
    <row r="393" spans="1:8" ht="12.75" customHeight="1">
      <c r="C393" s="485" t="s">
        <v>340</v>
      </c>
      <c r="D393" s="483" t="s">
        <v>222</v>
      </c>
      <c r="E393" s="4177" t="s">
        <v>3476</v>
      </c>
      <c r="F393" s="4177"/>
      <c r="G393" s="4177"/>
      <c r="H393" s="4177"/>
    </row>
    <row r="394" spans="1:8" ht="12.75" customHeight="1">
      <c r="C394" s="2621" t="s">
        <v>3477</v>
      </c>
      <c r="E394" s="4177" t="s">
        <v>3478</v>
      </c>
      <c r="F394" s="4177"/>
      <c r="G394" s="4177"/>
      <c r="H394" s="4177"/>
    </row>
    <row r="395" spans="1:8" ht="12.75" customHeight="1">
      <c r="C395" s="1077"/>
      <c r="D395" s="1076" t="s">
        <v>2821</v>
      </c>
      <c r="E395" s="4180" t="s">
        <v>3479</v>
      </c>
      <c r="F395" s="4180"/>
      <c r="G395" s="4180"/>
      <c r="H395" s="4180"/>
    </row>
    <row r="396" spans="1:8" ht="6" customHeight="1">
      <c r="D396" s="483"/>
      <c r="E396" s="2626"/>
      <c r="F396" s="2626"/>
      <c r="G396" s="2626"/>
      <c r="H396" s="2626"/>
    </row>
    <row r="397" spans="1:8">
      <c r="A397" s="464" t="s">
        <v>3471</v>
      </c>
      <c r="B397" s="481">
        <f>IF('Part V-Revenues &amp; Expenses'!$N$58=0,"",'Part V-Revenues &amp; Expenses'!$N$58)</f>
        <v>2</v>
      </c>
      <c r="C397" s="464" t="s">
        <v>3484</v>
      </c>
      <c r="D397" s="482" t="s">
        <v>3485</v>
      </c>
    </row>
    <row r="398" spans="1:8" ht="2.1" customHeight="1"/>
    <row r="399" spans="1:8" ht="12.75" customHeight="1">
      <c r="C399" s="461" t="s">
        <v>3474</v>
      </c>
      <c r="D399" s="483" t="s">
        <v>214</v>
      </c>
      <c r="E399" s="484"/>
      <c r="F399" s="480" t="s">
        <v>3475</v>
      </c>
      <c r="G399" s="480"/>
      <c r="H399" s="480"/>
    </row>
    <row r="400" spans="1:8" ht="12.75" customHeight="1">
      <c r="C400" s="485" t="s">
        <v>340</v>
      </c>
      <c r="D400" s="483" t="s">
        <v>222</v>
      </c>
      <c r="E400" s="4177" t="s">
        <v>3476</v>
      </c>
      <c r="F400" s="4177"/>
      <c r="G400" s="4177"/>
      <c r="H400" s="4177"/>
    </row>
    <row r="401" spans="1:11" ht="12.75" customHeight="1">
      <c r="C401" s="2621" t="s">
        <v>3477</v>
      </c>
      <c r="E401" s="4177" t="s">
        <v>3478</v>
      </c>
      <c r="F401" s="4177"/>
      <c r="G401" s="4177"/>
      <c r="H401" s="4177"/>
    </row>
    <row r="402" spans="1:11" ht="12.75" customHeight="1">
      <c r="C402" s="1077"/>
      <c r="D402" s="486" t="s">
        <v>2821</v>
      </c>
      <c r="E402" s="4177" t="s">
        <v>3479</v>
      </c>
      <c r="F402" s="4177"/>
      <c r="G402" s="4177"/>
      <c r="H402" s="4177"/>
    </row>
    <row r="403" spans="1:11" ht="3" customHeight="1">
      <c r="D403" s="483"/>
      <c r="E403" s="2626"/>
      <c r="F403" s="2626"/>
      <c r="G403" s="2626"/>
      <c r="H403" s="2626"/>
    </row>
    <row r="404" spans="1:11" ht="12.75" customHeight="1">
      <c r="C404" s="461" t="s">
        <v>3474</v>
      </c>
      <c r="D404" s="483" t="s">
        <v>214</v>
      </c>
      <c r="E404" s="484"/>
      <c r="F404" s="480" t="s">
        <v>3475</v>
      </c>
      <c r="G404" s="480"/>
      <c r="H404" s="480"/>
    </row>
    <row r="405" spans="1:11" ht="12.75" customHeight="1">
      <c r="C405" s="485" t="s">
        <v>340</v>
      </c>
      <c r="D405" s="483" t="s">
        <v>222</v>
      </c>
      <c r="E405" s="4177" t="s">
        <v>3476</v>
      </c>
      <c r="F405" s="4177"/>
      <c r="G405" s="4177"/>
      <c r="H405" s="4177"/>
    </row>
    <row r="406" spans="1:11" ht="12.75" customHeight="1">
      <c r="C406" s="2621" t="s">
        <v>3477</v>
      </c>
      <c r="E406" s="4177" t="s">
        <v>3478</v>
      </c>
      <c r="F406" s="4177"/>
      <c r="G406" s="4177"/>
      <c r="H406" s="4177"/>
    </row>
    <row r="407" spans="1:11" ht="12.75" customHeight="1">
      <c r="C407" s="1077"/>
      <c r="D407" s="1076" t="s">
        <v>2821</v>
      </c>
      <c r="E407" s="4180" t="s">
        <v>3479</v>
      </c>
      <c r="F407" s="4180"/>
      <c r="G407" s="4180"/>
      <c r="H407" s="4180"/>
    </row>
    <row r="408" spans="1:11" ht="3" customHeight="1">
      <c r="D408" s="483"/>
      <c r="E408" s="2626"/>
      <c r="F408" s="2626"/>
      <c r="G408" s="2626"/>
      <c r="H408" s="2626"/>
    </row>
    <row r="409" spans="1:11" ht="12.75" customHeight="1">
      <c r="C409" s="461" t="s">
        <v>3474</v>
      </c>
      <c r="D409" s="483" t="s">
        <v>214</v>
      </c>
      <c r="E409" s="484"/>
      <c r="F409" s="480" t="s">
        <v>3475</v>
      </c>
      <c r="G409" s="480"/>
      <c r="H409" s="480"/>
    </row>
    <row r="410" spans="1:11" ht="12.75" customHeight="1">
      <c r="C410" s="485" t="s">
        <v>340</v>
      </c>
      <c r="D410" s="483" t="s">
        <v>222</v>
      </c>
      <c r="E410" s="4177" t="s">
        <v>3476</v>
      </c>
      <c r="F410" s="4177"/>
      <c r="G410" s="4177"/>
      <c r="H410" s="4177"/>
    </row>
    <row r="411" spans="1:11" ht="12.75" customHeight="1">
      <c r="C411" s="2621" t="s">
        <v>3477</v>
      </c>
      <c r="E411" s="4177" t="s">
        <v>3478</v>
      </c>
      <c r="F411" s="4177"/>
      <c r="G411" s="4177"/>
      <c r="H411" s="4177"/>
    </row>
    <row r="412" spans="1:11" ht="12.75" customHeight="1">
      <c r="C412" s="1077"/>
      <c r="D412" s="1076" t="s">
        <v>2821</v>
      </c>
      <c r="E412" s="4180" t="s">
        <v>3479</v>
      </c>
      <c r="F412" s="4180"/>
      <c r="G412" s="4180"/>
      <c r="H412" s="4180"/>
    </row>
    <row r="413" spans="1:11" ht="6" customHeight="1">
      <c r="D413" s="483"/>
      <c r="E413" s="2626"/>
      <c r="F413" s="2626"/>
      <c r="G413" s="2626"/>
      <c r="H413" s="2626"/>
    </row>
    <row r="414" spans="1:11">
      <c r="A414" s="464" t="s">
        <v>3471</v>
      </c>
      <c r="B414" s="481" t="str">
        <f>IF('Part V-Revenues &amp; Expenses'!$O$58=0,"",'Part V-Revenues &amp; Expenses'!$O$58)</f>
        <v/>
      </c>
      <c r="C414" s="464" t="s">
        <v>3486</v>
      </c>
      <c r="D414" s="482" t="s">
        <v>3487</v>
      </c>
    </row>
    <row r="415" spans="1:11" ht="2.1" customHeight="1"/>
    <row r="416" spans="1:11" ht="12.75" customHeight="1">
      <c r="C416" s="461" t="s">
        <v>3474</v>
      </c>
      <c r="D416" s="483" t="s">
        <v>214</v>
      </c>
      <c r="E416" s="484"/>
      <c r="F416" s="4177" t="s">
        <v>3475</v>
      </c>
      <c r="G416" s="4177"/>
      <c r="H416" s="4177"/>
      <c r="K416" s="314" t="s">
        <v>3016</v>
      </c>
    </row>
    <row r="417" spans="1:8" ht="12.75" customHeight="1">
      <c r="C417" s="485" t="s">
        <v>340</v>
      </c>
      <c r="D417" s="483" t="s">
        <v>222</v>
      </c>
      <c r="E417" s="4177" t="s">
        <v>3488</v>
      </c>
      <c r="F417" s="4177"/>
      <c r="G417" s="4177"/>
      <c r="H417" s="4177"/>
    </row>
    <row r="418" spans="1:8" ht="12.75" customHeight="1">
      <c r="E418" s="4177" t="s">
        <v>3478</v>
      </c>
      <c r="F418" s="4177"/>
      <c r="G418" s="4177"/>
      <c r="H418" s="4177"/>
    </row>
    <row r="419" spans="1:8" ht="12.75" customHeight="1">
      <c r="D419" s="486" t="s">
        <v>2821</v>
      </c>
      <c r="E419" s="4177" t="s">
        <v>3479</v>
      </c>
      <c r="F419" s="4177"/>
      <c r="G419" s="4177"/>
      <c r="H419" s="4177"/>
    </row>
    <row r="420" spans="1:8" ht="9" customHeight="1" thickBot="1"/>
    <row r="421" spans="1:8" ht="16.350000000000001" customHeight="1" thickBot="1">
      <c r="A421" s="4178">
        <v>70</v>
      </c>
      <c r="B421" s="4179"/>
      <c r="C421" s="1078" t="s">
        <v>1196</v>
      </c>
    </row>
    <row r="422" spans="1:8" ht="9" customHeight="1">
      <c r="A422" s="457"/>
    </row>
    <row r="423" spans="1:8" ht="28.35" customHeight="1">
      <c r="A423" s="4177" t="s">
        <v>3493</v>
      </c>
      <c r="B423" s="4177"/>
      <c r="C423" s="4177"/>
      <c r="D423" s="4177"/>
      <c r="E423" s="4177"/>
      <c r="F423" s="4177"/>
      <c r="G423" s="4177"/>
      <c r="H423" s="4177"/>
    </row>
    <row r="424" spans="1:8" ht="9" customHeight="1">
      <c r="A424" s="457"/>
    </row>
    <row r="425" spans="1:8">
      <c r="A425" s="464" t="s">
        <v>3471</v>
      </c>
      <c r="B425" s="481" t="str">
        <f>IF('Part V-Revenues &amp; Expenses'!$K$57=0,"",'Part V-Revenues &amp; Expenses'!$K$57)</f>
        <v/>
      </c>
      <c r="C425" s="464" t="s">
        <v>3472</v>
      </c>
      <c r="D425" s="482" t="s">
        <v>3473</v>
      </c>
    </row>
    <row r="426" spans="1:8" ht="2.1" customHeight="1"/>
    <row r="427" spans="1:8" ht="12.75" customHeight="1">
      <c r="C427" s="461" t="s">
        <v>3474</v>
      </c>
      <c r="D427" s="483" t="s">
        <v>214</v>
      </c>
      <c r="E427" s="484"/>
      <c r="F427" s="4177" t="s">
        <v>3475</v>
      </c>
      <c r="G427" s="4177"/>
      <c r="H427" s="4177"/>
    </row>
    <row r="428" spans="1:8" ht="12.75" customHeight="1">
      <c r="C428" s="485" t="s">
        <v>340</v>
      </c>
      <c r="D428" s="483" t="s">
        <v>222</v>
      </c>
      <c r="E428" s="4177" t="s">
        <v>3476</v>
      </c>
      <c r="F428" s="4177"/>
      <c r="G428" s="4177"/>
      <c r="H428" s="4177"/>
    </row>
    <row r="429" spans="1:8" ht="12.75" customHeight="1">
      <c r="C429" s="2621" t="s">
        <v>3477</v>
      </c>
      <c r="E429" s="4177" t="s">
        <v>3478</v>
      </c>
      <c r="F429" s="4177"/>
      <c r="G429" s="4177"/>
      <c r="H429" s="4177"/>
    </row>
    <row r="430" spans="1:8" ht="12.75" customHeight="1">
      <c r="C430" s="1077"/>
      <c r="D430" s="1076" t="s">
        <v>2821</v>
      </c>
      <c r="E430" s="4180" t="s">
        <v>3479</v>
      </c>
      <c r="F430" s="4180"/>
      <c r="G430" s="4180"/>
      <c r="H430" s="4180"/>
    </row>
    <row r="431" spans="1:8" ht="3" customHeight="1">
      <c r="D431" s="483"/>
      <c r="E431" s="2626"/>
      <c r="F431" s="2626"/>
      <c r="G431" s="2626"/>
      <c r="H431" s="2626"/>
    </row>
    <row r="432" spans="1:8" ht="12.75" customHeight="1">
      <c r="C432" s="461" t="s">
        <v>3474</v>
      </c>
      <c r="D432" s="483" t="s">
        <v>214</v>
      </c>
      <c r="E432" s="484"/>
      <c r="F432" s="480" t="s">
        <v>3475</v>
      </c>
      <c r="G432" s="480"/>
      <c r="H432" s="480"/>
    </row>
    <row r="433" spans="1:8" ht="12.75" customHeight="1">
      <c r="C433" s="485" t="s">
        <v>340</v>
      </c>
      <c r="D433" s="483" t="s">
        <v>222</v>
      </c>
      <c r="E433" s="4177" t="s">
        <v>3476</v>
      </c>
      <c r="F433" s="4177"/>
      <c r="G433" s="4177"/>
      <c r="H433" s="4177"/>
    </row>
    <row r="434" spans="1:8" ht="12.75" customHeight="1">
      <c r="C434" s="2621" t="s">
        <v>3477</v>
      </c>
      <c r="E434" s="4177" t="s">
        <v>3478</v>
      </c>
      <c r="F434" s="4177"/>
      <c r="G434" s="4177"/>
      <c r="H434" s="4177"/>
    </row>
    <row r="435" spans="1:8" ht="12.75" customHeight="1">
      <c r="C435" s="1077"/>
      <c r="D435" s="1076" t="s">
        <v>2821</v>
      </c>
      <c r="E435" s="4180" t="s">
        <v>3479</v>
      </c>
      <c r="F435" s="4180"/>
      <c r="G435" s="4180"/>
      <c r="H435" s="4180"/>
    </row>
    <row r="436" spans="1:8" ht="3" customHeight="1">
      <c r="D436" s="483"/>
      <c r="E436" s="2626"/>
      <c r="F436" s="2626"/>
      <c r="G436" s="2626"/>
      <c r="H436" s="2626"/>
    </row>
    <row r="437" spans="1:8" ht="12.75" customHeight="1">
      <c r="C437" s="461" t="s">
        <v>3474</v>
      </c>
      <c r="D437" s="483" t="s">
        <v>214</v>
      </c>
      <c r="E437" s="484"/>
      <c r="F437" s="480" t="s">
        <v>3475</v>
      </c>
      <c r="G437" s="480"/>
      <c r="H437" s="480"/>
    </row>
    <row r="438" spans="1:8" ht="12.75" customHeight="1">
      <c r="C438" s="485" t="s">
        <v>340</v>
      </c>
      <c r="D438" s="483" t="s">
        <v>222</v>
      </c>
      <c r="E438" s="4177" t="s">
        <v>3476</v>
      </c>
      <c r="F438" s="4177"/>
      <c r="G438" s="4177"/>
      <c r="H438" s="4177"/>
    </row>
    <row r="439" spans="1:8" ht="12.75" customHeight="1">
      <c r="C439" s="2621" t="s">
        <v>3477</v>
      </c>
      <c r="E439" s="4177" t="s">
        <v>3478</v>
      </c>
      <c r="F439" s="4177"/>
      <c r="G439" s="4177"/>
      <c r="H439" s="4177"/>
    </row>
    <row r="440" spans="1:8" ht="12.75" customHeight="1">
      <c r="C440" s="1077"/>
      <c r="D440" s="1076" t="s">
        <v>2821</v>
      </c>
      <c r="E440" s="4180" t="s">
        <v>3479</v>
      </c>
      <c r="F440" s="4180"/>
      <c r="G440" s="4180"/>
      <c r="H440" s="4180"/>
    </row>
    <row r="441" spans="1:8" ht="6" customHeight="1">
      <c r="D441" s="483"/>
      <c r="E441" s="2626"/>
      <c r="F441" s="2626"/>
      <c r="G441" s="2626"/>
      <c r="H441" s="2626"/>
    </row>
    <row r="442" spans="1:8">
      <c r="A442" s="464" t="s">
        <v>3471</v>
      </c>
      <c r="B442" s="481" t="str">
        <f>IF('Part V-Revenues &amp; Expenses'!$L$57=0,"",'Part V-Revenues &amp; Expenses'!$L$57)</f>
        <v/>
      </c>
      <c r="C442" s="464" t="s">
        <v>3480</v>
      </c>
      <c r="D442" s="482" t="s">
        <v>3481</v>
      </c>
    </row>
    <row r="443" spans="1:8" ht="2.1" customHeight="1"/>
    <row r="444" spans="1:8" ht="12.75" customHeight="1">
      <c r="C444" s="461" t="s">
        <v>3474</v>
      </c>
      <c r="D444" s="483" t="s">
        <v>214</v>
      </c>
      <c r="E444" s="484"/>
      <c r="F444" s="480" t="s">
        <v>3475</v>
      </c>
      <c r="G444" s="480"/>
      <c r="H444" s="480"/>
    </row>
    <row r="445" spans="1:8" ht="12.75" customHeight="1">
      <c r="C445" s="485" t="s">
        <v>340</v>
      </c>
      <c r="D445" s="483" t="s">
        <v>222</v>
      </c>
      <c r="E445" s="4177" t="s">
        <v>3476</v>
      </c>
      <c r="F445" s="4177"/>
      <c r="G445" s="4177"/>
      <c r="H445" s="4177"/>
    </row>
    <row r="446" spans="1:8" ht="12.75" customHeight="1">
      <c r="C446" s="2621" t="s">
        <v>3477</v>
      </c>
      <c r="E446" s="4177" t="s">
        <v>3478</v>
      </c>
      <c r="F446" s="4177"/>
      <c r="G446" s="4177"/>
      <c r="H446" s="4177"/>
    </row>
    <row r="447" spans="1:8" ht="12.75" customHeight="1">
      <c r="C447" s="1077"/>
      <c r="D447" s="486" t="s">
        <v>2821</v>
      </c>
      <c r="E447" s="4177" t="s">
        <v>3479</v>
      </c>
      <c r="F447" s="4177"/>
      <c r="G447" s="4177"/>
      <c r="H447" s="4177"/>
    </row>
    <row r="448" spans="1:8" ht="3" customHeight="1">
      <c r="D448" s="483"/>
      <c r="E448" s="2626"/>
      <c r="F448" s="2626"/>
      <c r="G448" s="2626"/>
      <c r="H448" s="2626"/>
    </row>
    <row r="449" spans="1:8" ht="12.75" customHeight="1">
      <c r="C449" s="461" t="s">
        <v>3474</v>
      </c>
      <c r="D449" s="483" t="s">
        <v>214</v>
      </c>
      <c r="E449" s="484"/>
      <c r="F449" s="480" t="s">
        <v>3475</v>
      </c>
      <c r="G449" s="480"/>
      <c r="H449" s="480"/>
    </row>
    <row r="450" spans="1:8" ht="12.75" customHeight="1">
      <c r="C450" s="485" t="s">
        <v>340</v>
      </c>
      <c r="D450" s="483" t="s">
        <v>222</v>
      </c>
      <c r="E450" s="4177" t="s">
        <v>3476</v>
      </c>
      <c r="F450" s="4177"/>
      <c r="G450" s="4177"/>
      <c r="H450" s="4177"/>
    </row>
    <row r="451" spans="1:8" ht="12.75" customHeight="1">
      <c r="C451" s="2621" t="s">
        <v>3477</v>
      </c>
      <c r="E451" s="4177" t="s">
        <v>3478</v>
      </c>
      <c r="F451" s="4177"/>
      <c r="G451" s="4177"/>
      <c r="H451" s="4177"/>
    </row>
    <row r="452" spans="1:8" ht="12.75" customHeight="1">
      <c r="C452" s="1077"/>
      <c r="D452" s="1076" t="s">
        <v>2821</v>
      </c>
      <c r="E452" s="4180" t="s">
        <v>3479</v>
      </c>
      <c r="F452" s="4180"/>
      <c r="G452" s="4180"/>
      <c r="H452" s="4180"/>
    </row>
    <row r="453" spans="1:8" ht="3" customHeight="1">
      <c r="D453" s="483"/>
      <c r="E453" s="2626"/>
      <c r="F453" s="2626"/>
      <c r="G453" s="2626"/>
      <c r="H453" s="2626"/>
    </row>
    <row r="454" spans="1:8" ht="12.75" customHeight="1">
      <c r="C454" s="461" t="s">
        <v>3474</v>
      </c>
      <c r="D454" s="483" t="s">
        <v>214</v>
      </c>
      <c r="E454" s="484"/>
      <c r="F454" s="480" t="s">
        <v>3475</v>
      </c>
      <c r="G454" s="480"/>
      <c r="H454" s="480"/>
    </row>
    <row r="455" spans="1:8" ht="12.75" customHeight="1">
      <c r="C455" s="485" t="s">
        <v>340</v>
      </c>
      <c r="D455" s="483" t="s">
        <v>222</v>
      </c>
      <c r="E455" s="4177" t="s">
        <v>3476</v>
      </c>
      <c r="F455" s="4177"/>
      <c r="G455" s="4177"/>
      <c r="H455" s="4177"/>
    </row>
    <row r="456" spans="1:8" ht="12.75" customHeight="1">
      <c r="C456" s="2621" t="s">
        <v>3477</v>
      </c>
      <c r="E456" s="4177" t="s">
        <v>3478</v>
      </c>
      <c r="F456" s="4177"/>
      <c r="G456" s="4177"/>
      <c r="H456" s="4177"/>
    </row>
    <row r="457" spans="1:8" ht="12.75" customHeight="1">
      <c r="C457" s="1077"/>
      <c r="D457" s="1076" t="s">
        <v>2821</v>
      </c>
      <c r="E457" s="4180" t="s">
        <v>3479</v>
      </c>
      <c r="F457" s="4180"/>
      <c r="G457" s="4180"/>
      <c r="H457" s="4180"/>
    </row>
    <row r="458" spans="1:8" ht="6" customHeight="1">
      <c r="D458" s="483"/>
      <c r="E458" s="2626"/>
      <c r="F458" s="2626"/>
      <c r="G458" s="2626"/>
      <c r="H458" s="2626"/>
    </row>
    <row r="459" spans="1:8">
      <c r="A459" s="464" t="s">
        <v>3471</v>
      </c>
      <c r="B459" s="481" t="str">
        <f>IF('Part V-Revenues &amp; Expenses'!$M$57=0,"",'Part V-Revenues &amp; Expenses'!$M$57)</f>
        <v/>
      </c>
      <c r="C459" s="464" t="s">
        <v>3482</v>
      </c>
      <c r="D459" s="482" t="s">
        <v>3483</v>
      </c>
    </row>
    <row r="460" spans="1:8" ht="2.1" customHeight="1"/>
    <row r="461" spans="1:8" ht="12.75" customHeight="1">
      <c r="C461" s="461" t="s">
        <v>3474</v>
      </c>
      <c r="D461" s="483" t="s">
        <v>214</v>
      </c>
      <c r="E461" s="484"/>
      <c r="F461" s="480" t="s">
        <v>3475</v>
      </c>
      <c r="G461" s="480"/>
      <c r="H461" s="480"/>
    </row>
    <row r="462" spans="1:8" ht="12.75" customHeight="1">
      <c r="C462" s="485" t="s">
        <v>340</v>
      </c>
      <c r="D462" s="483" t="s">
        <v>222</v>
      </c>
      <c r="E462" s="4177" t="s">
        <v>3476</v>
      </c>
      <c r="F462" s="4177"/>
      <c r="G462" s="4177"/>
      <c r="H462" s="4177"/>
    </row>
    <row r="463" spans="1:8" ht="12.75" customHeight="1">
      <c r="C463" s="2621" t="s">
        <v>3477</v>
      </c>
      <c r="E463" s="4177" t="s">
        <v>3478</v>
      </c>
      <c r="F463" s="4177"/>
      <c r="G463" s="4177"/>
      <c r="H463" s="4177"/>
    </row>
    <row r="464" spans="1:8" ht="12.75" customHeight="1">
      <c r="C464" s="1077"/>
      <c r="D464" s="486" t="s">
        <v>2821</v>
      </c>
      <c r="E464" s="4177" t="s">
        <v>3479</v>
      </c>
      <c r="F464" s="4177"/>
      <c r="G464" s="4177"/>
      <c r="H464" s="4177"/>
    </row>
    <row r="465" spans="1:8" ht="3" customHeight="1">
      <c r="D465" s="483"/>
      <c r="E465" s="2626"/>
      <c r="F465" s="2626"/>
      <c r="G465" s="2626"/>
      <c r="H465" s="2626"/>
    </row>
    <row r="466" spans="1:8" ht="12.75" customHeight="1">
      <c r="C466" s="461" t="s">
        <v>3474</v>
      </c>
      <c r="D466" s="483" t="s">
        <v>214</v>
      </c>
      <c r="E466" s="484"/>
      <c r="F466" s="480" t="s">
        <v>3475</v>
      </c>
      <c r="G466" s="480"/>
      <c r="H466" s="480"/>
    </row>
    <row r="467" spans="1:8" ht="12.75" customHeight="1">
      <c r="C467" s="485" t="s">
        <v>340</v>
      </c>
      <c r="D467" s="483" t="s">
        <v>222</v>
      </c>
      <c r="E467" s="4177" t="s">
        <v>3476</v>
      </c>
      <c r="F467" s="4177"/>
      <c r="G467" s="4177"/>
      <c r="H467" s="4177"/>
    </row>
    <row r="468" spans="1:8" ht="12.75" customHeight="1">
      <c r="C468" s="2621" t="s">
        <v>3477</v>
      </c>
      <c r="E468" s="4177" t="s">
        <v>3478</v>
      </c>
      <c r="F468" s="4177"/>
      <c r="G468" s="4177"/>
      <c r="H468" s="4177"/>
    </row>
    <row r="469" spans="1:8" ht="12.75" customHeight="1">
      <c r="C469" s="1077"/>
      <c r="D469" s="1076" t="s">
        <v>2821</v>
      </c>
      <c r="E469" s="4180" t="s">
        <v>3479</v>
      </c>
      <c r="F469" s="4180"/>
      <c r="G469" s="4180"/>
      <c r="H469" s="4180"/>
    </row>
    <row r="470" spans="1:8" ht="3" customHeight="1">
      <c r="D470" s="483"/>
      <c r="E470" s="2626"/>
      <c r="F470" s="2626"/>
      <c r="G470" s="2626"/>
      <c r="H470" s="2626"/>
    </row>
    <row r="471" spans="1:8" ht="12.75" customHeight="1">
      <c r="C471" s="461" t="s">
        <v>3474</v>
      </c>
      <c r="D471" s="483" t="s">
        <v>214</v>
      </c>
      <c r="E471" s="484"/>
      <c r="F471" s="480" t="s">
        <v>3475</v>
      </c>
      <c r="G471" s="480"/>
      <c r="H471" s="480"/>
    </row>
    <row r="472" spans="1:8" ht="12.75" customHeight="1">
      <c r="C472" s="485" t="s">
        <v>340</v>
      </c>
      <c r="D472" s="483" t="s">
        <v>222</v>
      </c>
      <c r="E472" s="4177" t="s">
        <v>3476</v>
      </c>
      <c r="F472" s="4177"/>
      <c r="G472" s="4177"/>
      <c r="H472" s="4177"/>
    </row>
    <row r="473" spans="1:8" ht="12.75" customHeight="1">
      <c r="C473" s="2621" t="s">
        <v>3477</v>
      </c>
      <c r="E473" s="4177" t="s">
        <v>3478</v>
      </c>
      <c r="F473" s="4177"/>
      <c r="G473" s="4177"/>
      <c r="H473" s="4177"/>
    </row>
    <row r="474" spans="1:8" ht="12.75" customHeight="1">
      <c r="C474" s="1077"/>
      <c r="D474" s="1076" t="s">
        <v>2821</v>
      </c>
      <c r="E474" s="4180" t="s">
        <v>3479</v>
      </c>
      <c r="F474" s="4180"/>
      <c r="G474" s="4180"/>
      <c r="H474" s="4180"/>
    </row>
    <row r="475" spans="1:8" ht="6" customHeight="1">
      <c r="D475" s="483"/>
      <c r="E475" s="2626"/>
      <c r="F475" s="2626"/>
      <c r="G475" s="2626"/>
      <c r="H475" s="2626"/>
    </row>
    <row r="476" spans="1:8">
      <c r="A476" s="464" t="s">
        <v>3471</v>
      </c>
      <c r="B476" s="481" t="str">
        <f>IF('Part V-Revenues &amp; Expenses'!$N$57=0,"",'Part V-Revenues &amp; Expenses'!$N$57)</f>
        <v/>
      </c>
      <c r="C476" s="464" t="s">
        <v>3484</v>
      </c>
      <c r="D476" s="482" t="s">
        <v>3485</v>
      </c>
    </row>
    <row r="477" spans="1:8" ht="2.1" customHeight="1"/>
    <row r="478" spans="1:8" ht="12.75" customHeight="1">
      <c r="C478" s="461" t="s">
        <v>3474</v>
      </c>
      <c r="D478" s="483" t="s">
        <v>214</v>
      </c>
      <c r="E478" s="484"/>
      <c r="F478" s="480" t="s">
        <v>3475</v>
      </c>
      <c r="G478" s="480"/>
      <c r="H478" s="480"/>
    </row>
    <row r="479" spans="1:8" ht="12.75" customHeight="1">
      <c r="C479" s="485" t="s">
        <v>340</v>
      </c>
      <c r="D479" s="483" t="s">
        <v>222</v>
      </c>
      <c r="E479" s="4177" t="s">
        <v>3476</v>
      </c>
      <c r="F479" s="4177"/>
      <c r="G479" s="4177"/>
      <c r="H479" s="4177"/>
    </row>
    <row r="480" spans="1:8" ht="12.75" customHeight="1">
      <c r="C480" s="2621" t="s">
        <v>3477</v>
      </c>
      <c r="E480" s="4177" t="s">
        <v>3478</v>
      </c>
      <c r="F480" s="4177"/>
      <c r="G480" s="4177"/>
      <c r="H480" s="4177"/>
    </row>
    <row r="481" spans="1:11" ht="12.75" customHeight="1">
      <c r="C481" s="1077"/>
      <c r="D481" s="486" t="s">
        <v>2821</v>
      </c>
      <c r="E481" s="4177" t="s">
        <v>3479</v>
      </c>
      <c r="F481" s="4177"/>
      <c r="G481" s="4177"/>
      <c r="H481" s="4177"/>
    </row>
    <row r="482" spans="1:11" ht="3" customHeight="1">
      <c r="D482" s="483"/>
      <c r="E482" s="2626"/>
      <c r="F482" s="2626"/>
      <c r="G482" s="2626"/>
      <c r="H482" s="2626"/>
    </row>
    <row r="483" spans="1:11" ht="12.75" customHeight="1">
      <c r="C483" s="461" t="s">
        <v>3474</v>
      </c>
      <c r="D483" s="483" t="s">
        <v>214</v>
      </c>
      <c r="E483" s="484"/>
      <c r="F483" s="480" t="s">
        <v>3475</v>
      </c>
      <c r="G483" s="480"/>
      <c r="H483" s="480"/>
    </row>
    <row r="484" spans="1:11" ht="12.75" customHeight="1">
      <c r="C484" s="485" t="s">
        <v>340</v>
      </c>
      <c r="D484" s="483" t="s">
        <v>222</v>
      </c>
      <c r="E484" s="4177" t="s">
        <v>3476</v>
      </c>
      <c r="F484" s="4177"/>
      <c r="G484" s="4177"/>
      <c r="H484" s="4177"/>
    </row>
    <row r="485" spans="1:11" ht="12.75" customHeight="1">
      <c r="C485" s="2621" t="s">
        <v>3477</v>
      </c>
      <c r="E485" s="4177" t="s">
        <v>3478</v>
      </c>
      <c r="F485" s="4177"/>
      <c r="G485" s="4177"/>
      <c r="H485" s="4177"/>
    </row>
    <row r="486" spans="1:11" ht="12.75" customHeight="1">
      <c r="C486" s="1077"/>
      <c r="D486" s="1076" t="s">
        <v>2821</v>
      </c>
      <c r="E486" s="4180" t="s">
        <v>3479</v>
      </c>
      <c r="F486" s="4180"/>
      <c r="G486" s="4180"/>
      <c r="H486" s="4180"/>
    </row>
    <row r="487" spans="1:11" ht="3" customHeight="1">
      <c r="D487" s="483"/>
      <c r="E487" s="2626"/>
      <c r="F487" s="2626"/>
      <c r="G487" s="2626"/>
      <c r="H487" s="2626"/>
    </row>
    <row r="488" spans="1:11" ht="12.75" customHeight="1">
      <c r="C488" s="461" t="s">
        <v>3474</v>
      </c>
      <c r="D488" s="483" t="s">
        <v>214</v>
      </c>
      <c r="E488" s="484"/>
      <c r="F488" s="480" t="s">
        <v>3475</v>
      </c>
      <c r="G488" s="480"/>
      <c r="H488" s="480"/>
    </row>
    <row r="489" spans="1:11" ht="12.75" customHeight="1">
      <c r="C489" s="485" t="s">
        <v>340</v>
      </c>
      <c r="D489" s="483" t="s">
        <v>222</v>
      </c>
      <c r="E489" s="4177" t="s">
        <v>3476</v>
      </c>
      <c r="F489" s="4177"/>
      <c r="G489" s="4177"/>
      <c r="H489" s="4177"/>
    </row>
    <row r="490" spans="1:11" ht="12.75" customHeight="1">
      <c r="C490" s="2621" t="s">
        <v>3477</v>
      </c>
      <c r="E490" s="4177" t="s">
        <v>3478</v>
      </c>
      <c r="F490" s="4177"/>
      <c r="G490" s="4177"/>
      <c r="H490" s="4177"/>
    </row>
    <row r="491" spans="1:11" ht="12.75" customHeight="1">
      <c r="C491" s="1077"/>
      <c r="D491" s="1076" t="s">
        <v>2821</v>
      </c>
      <c r="E491" s="4180" t="s">
        <v>3479</v>
      </c>
      <c r="F491" s="4180"/>
      <c r="G491" s="4180"/>
      <c r="H491" s="4180"/>
    </row>
    <row r="492" spans="1:11" ht="6" customHeight="1">
      <c r="D492" s="483"/>
      <c r="E492" s="2626"/>
      <c r="F492" s="2626"/>
      <c r="G492" s="2626"/>
      <c r="H492" s="2626"/>
    </row>
    <row r="493" spans="1:11">
      <c r="A493" s="464" t="s">
        <v>3471</v>
      </c>
      <c r="B493" s="481" t="str">
        <f>IF('Part V-Revenues &amp; Expenses'!$O$57=0,"",'Part V-Revenues &amp; Expenses'!$O$57)</f>
        <v/>
      </c>
      <c r="C493" s="464" t="s">
        <v>3486</v>
      </c>
      <c r="D493" s="482" t="s">
        <v>3487</v>
      </c>
    </row>
    <row r="494" spans="1:11" ht="2.1" customHeight="1"/>
    <row r="495" spans="1:11" ht="12.75" customHeight="1">
      <c r="C495" s="461" t="s">
        <v>3474</v>
      </c>
      <c r="D495" s="483" t="s">
        <v>214</v>
      </c>
      <c r="E495" s="484"/>
      <c r="F495" s="4177" t="s">
        <v>3475</v>
      </c>
      <c r="G495" s="4177"/>
      <c r="H495" s="4177"/>
      <c r="K495" s="314" t="s">
        <v>3016</v>
      </c>
    </row>
    <row r="496" spans="1:11" ht="12.75" customHeight="1">
      <c r="C496" s="485" t="s">
        <v>340</v>
      </c>
      <c r="D496" s="483" t="s">
        <v>222</v>
      </c>
      <c r="E496" s="4177" t="s">
        <v>3488</v>
      </c>
      <c r="F496" s="4177"/>
      <c r="G496" s="4177"/>
      <c r="H496" s="4177"/>
    </row>
    <row r="497" spans="1:8" ht="12.75" customHeight="1">
      <c r="E497" s="4177" t="s">
        <v>3478</v>
      </c>
      <c r="F497" s="4177"/>
      <c r="G497" s="4177"/>
      <c r="H497" s="4177"/>
    </row>
    <row r="498" spans="1:8" ht="12.75" customHeight="1">
      <c r="D498" s="486" t="s">
        <v>2821</v>
      </c>
      <c r="E498" s="4177" t="s">
        <v>3479</v>
      </c>
      <c r="F498" s="4177"/>
      <c r="G498" s="4177"/>
      <c r="H498" s="4177"/>
    </row>
    <row r="499" spans="1:8" ht="9" customHeight="1" thickBot="1"/>
    <row r="500" spans="1:8" ht="16.350000000000001" customHeight="1" thickBot="1">
      <c r="A500" s="4178">
        <v>80</v>
      </c>
      <c r="B500" s="4179"/>
      <c r="C500" s="1078" t="s">
        <v>1196</v>
      </c>
    </row>
    <row r="501" spans="1:8" ht="9" customHeight="1">
      <c r="A501" s="457"/>
    </row>
    <row r="502" spans="1:8" ht="28.35" customHeight="1">
      <c r="A502" s="4177" t="s">
        <v>3494</v>
      </c>
      <c r="B502" s="4177"/>
      <c r="C502" s="4177"/>
      <c r="D502" s="4177"/>
      <c r="E502" s="4177"/>
      <c r="F502" s="4177"/>
      <c r="G502" s="4177"/>
      <c r="H502" s="4177"/>
    </row>
    <row r="503" spans="1:8" ht="9" customHeight="1">
      <c r="A503" s="457"/>
    </row>
    <row r="504" spans="1:8">
      <c r="A504" s="464" t="s">
        <v>3471</v>
      </c>
      <c r="B504" s="481" t="str">
        <f>IF('Part V-Revenues &amp; Expenses'!$K$56=0,"",'Part V-Revenues &amp; Expenses'!$K$56)</f>
        <v/>
      </c>
      <c r="C504" s="464" t="s">
        <v>3472</v>
      </c>
      <c r="D504" s="482" t="s">
        <v>3473</v>
      </c>
    </row>
    <row r="505" spans="1:8" ht="2.1" customHeight="1"/>
    <row r="506" spans="1:8" ht="12.75" customHeight="1">
      <c r="C506" s="461" t="s">
        <v>3474</v>
      </c>
      <c r="D506" s="483" t="s">
        <v>214</v>
      </c>
      <c r="E506" s="484"/>
      <c r="F506" s="4177" t="s">
        <v>3475</v>
      </c>
      <c r="G506" s="4177"/>
      <c r="H506" s="4177"/>
    </row>
    <row r="507" spans="1:8" ht="12.75" customHeight="1">
      <c r="C507" s="485" t="s">
        <v>340</v>
      </c>
      <c r="D507" s="483" t="s">
        <v>222</v>
      </c>
      <c r="E507" s="4177" t="s">
        <v>3476</v>
      </c>
      <c r="F507" s="4177"/>
      <c r="G507" s="4177"/>
      <c r="H507" s="4177"/>
    </row>
    <row r="508" spans="1:8" ht="12.75" customHeight="1">
      <c r="C508" s="2621" t="s">
        <v>3477</v>
      </c>
      <c r="E508" s="4177" t="s">
        <v>3478</v>
      </c>
      <c r="F508" s="4177"/>
      <c r="G508" s="4177"/>
      <c r="H508" s="4177"/>
    </row>
    <row r="509" spans="1:8" ht="12.75" customHeight="1">
      <c r="C509" s="1077"/>
      <c r="D509" s="1076" t="s">
        <v>2821</v>
      </c>
      <c r="E509" s="4180" t="s">
        <v>3479</v>
      </c>
      <c r="F509" s="4180"/>
      <c r="G509" s="4180"/>
      <c r="H509" s="4180"/>
    </row>
    <row r="510" spans="1:8" ht="3" customHeight="1">
      <c r="D510" s="483"/>
      <c r="E510" s="2626"/>
      <c r="F510" s="2626"/>
      <c r="G510" s="2626"/>
      <c r="H510" s="2626"/>
    </row>
    <row r="511" spans="1:8" ht="12.75" customHeight="1">
      <c r="C511" s="461" t="s">
        <v>3474</v>
      </c>
      <c r="D511" s="483" t="s">
        <v>214</v>
      </c>
      <c r="E511" s="484"/>
      <c r="F511" s="480" t="s">
        <v>3475</v>
      </c>
      <c r="G511" s="480"/>
      <c r="H511" s="480"/>
    </row>
    <row r="512" spans="1:8" ht="12.75" customHeight="1">
      <c r="C512" s="485" t="s">
        <v>340</v>
      </c>
      <c r="D512" s="483" t="s">
        <v>222</v>
      </c>
      <c r="E512" s="4177" t="s">
        <v>3476</v>
      </c>
      <c r="F512" s="4177"/>
      <c r="G512" s="4177"/>
      <c r="H512" s="4177"/>
    </row>
    <row r="513" spans="1:8" ht="12.75" customHeight="1">
      <c r="C513" s="2621" t="s">
        <v>3477</v>
      </c>
      <c r="E513" s="4177" t="s">
        <v>3478</v>
      </c>
      <c r="F513" s="4177"/>
      <c r="G513" s="4177"/>
      <c r="H513" s="4177"/>
    </row>
    <row r="514" spans="1:8" ht="12.75" customHeight="1">
      <c r="C514" s="1077"/>
      <c r="D514" s="1076" t="s">
        <v>2821</v>
      </c>
      <c r="E514" s="4180" t="s">
        <v>3479</v>
      </c>
      <c r="F514" s="4180"/>
      <c r="G514" s="4180"/>
      <c r="H514" s="4180"/>
    </row>
    <row r="515" spans="1:8" ht="3" customHeight="1">
      <c r="D515" s="483"/>
      <c r="E515" s="2626"/>
      <c r="F515" s="2626"/>
      <c r="G515" s="2626"/>
      <c r="H515" s="2626"/>
    </row>
    <row r="516" spans="1:8" ht="12.75" customHeight="1">
      <c r="C516" s="461" t="s">
        <v>3474</v>
      </c>
      <c r="D516" s="483" t="s">
        <v>214</v>
      </c>
      <c r="E516" s="484"/>
      <c r="F516" s="480" t="s">
        <v>3475</v>
      </c>
      <c r="G516" s="480"/>
      <c r="H516" s="480"/>
    </row>
    <row r="517" spans="1:8" ht="12.75" customHeight="1">
      <c r="C517" s="485" t="s">
        <v>340</v>
      </c>
      <c r="D517" s="483" t="s">
        <v>222</v>
      </c>
      <c r="E517" s="4177" t="s">
        <v>3476</v>
      </c>
      <c r="F517" s="4177"/>
      <c r="G517" s="4177"/>
      <c r="H517" s="4177"/>
    </row>
    <row r="518" spans="1:8" ht="12.75" customHeight="1">
      <c r="C518" s="2621" t="s">
        <v>3477</v>
      </c>
      <c r="E518" s="4177" t="s">
        <v>3478</v>
      </c>
      <c r="F518" s="4177"/>
      <c r="G518" s="4177"/>
      <c r="H518" s="4177"/>
    </row>
    <row r="519" spans="1:8" ht="12.75" customHeight="1">
      <c r="C519" s="1077"/>
      <c r="D519" s="1076" t="s">
        <v>2821</v>
      </c>
      <c r="E519" s="4180" t="s">
        <v>3479</v>
      </c>
      <c r="F519" s="4180"/>
      <c r="G519" s="4180"/>
      <c r="H519" s="4180"/>
    </row>
    <row r="520" spans="1:8" ht="6" customHeight="1">
      <c r="D520" s="483"/>
      <c r="E520" s="2626"/>
      <c r="F520" s="2626"/>
      <c r="G520" s="2626"/>
      <c r="H520" s="2626"/>
    </row>
    <row r="521" spans="1:8">
      <c r="A521" s="464" t="s">
        <v>3471</v>
      </c>
      <c r="B521" s="481" t="str">
        <f>IF('Part V-Revenues &amp; Expenses'!$L$56=0,"",'Part V-Revenues &amp; Expenses'!$L$56)</f>
        <v/>
      </c>
      <c r="C521" s="464" t="s">
        <v>3480</v>
      </c>
      <c r="D521" s="482" t="s">
        <v>3481</v>
      </c>
    </row>
    <row r="522" spans="1:8" ht="2.1" customHeight="1"/>
    <row r="523" spans="1:8" ht="12.75" customHeight="1">
      <c r="C523" s="461" t="s">
        <v>3474</v>
      </c>
      <c r="D523" s="483" t="s">
        <v>214</v>
      </c>
      <c r="E523" s="484"/>
      <c r="F523" s="480" t="s">
        <v>3475</v>
      </c>
      <c r="G523" s="480"/>
      <c r="H523" s="480"/>
    </row>
    <row r="524" spans="1:8" ht="12.75" customHeight="1">
      <c r="C524" s="485" t="s">
        <v>340</v>
      </c>
      <c r="D524" s="483" t="s">
        <v>222</v>
      </c>
      <c r="E524" s="4177" t="s">
        <v>3476</v>
      </c>
      <c r="F524" s="4177"/>
      <c r="G524" s="4177"/>
      <c r="H524" s="4177"/>
    </row>
    <row r="525" spans="1:8" ht="12.75" customHeight="1">
      <c r="C525" s="2621" t="s">
        <v>3477</v>
      </c>
      <c r="E525" s="4177" t="s">
        <v>3478</v>
      </c>
      <c r="F525" s="4177"/>
      <c r="G525" s="4177"/>
      <c r="H525" s="4177"/>
    </row>
    <row r="526" spans="1:8" ht="12.75" customHeight="1">
      <c r="C526" s="1077"/>
      <c r="D526" s="486" t="s">
        <v>2821</v>
      </c>
      <c r="E526" s="4177" t="s">
        <v>3479</v>
      </c>
      <c r="F526" s="4177"/>
      <c r="G526" s="4177"/>
      <c r="H526" s="4177"/>
    </row>
    <row r="527" spans="1:8" ht="3" customHeight="1">
      <c r="D527" s="483"/>
      <c r="E527" s="2626"/>
      <c r="F527" s="2626"/>
      <c r="G527" s="2626"/>
      <c r="H527" s="2626"/>
    </row>
    <row r="528" spans="1:8" ht="12.75" customHeight="1">
      <c r="C528" s="461" t="s">
        <v>3474</v>
      </c>
      <c r="D528" s="483" t="s">
        <v>214</v>
      </c>
      <c r="E528" s="484"/>
      <c r="F528" s="480" t="s">
        <v>3475</v>
      </c>
      <c r="G528" s="480"/>
      <c r="H528" s="480"/>
    </row>
    <row r="529" spans="1:8" ht="12.75" customHeight="1">
      <c r="C529" s="485" t="s">
        <v>340</v>
      </c>
      <c r="D529" s="483" t="s">
        <v>222</v>
      </c>
      <c r="E529" s="4177" t="s">
        <v>3476</v>
      </c>
      <c r="F529" s="4177"/>
      <c r="G529" s="4177"/>
      <c r="H529" s="4177"/>
    </row>
    <row r="530" spans="1:8" ht="12.75" customHeight="1">
      <c r="C530" s="2621" t="s">
        <v>3477</v>
      </c>
      <c r="E530" s="4177" t="s">
        <v>3478</v>
      </c>
      <c r="F530" s="4177"/>
      <c r="G530" s="4177"/>
      <c r="H530" s="4177"/>
    </row>
    <row r="531" spans="1:8" ht="12.75" customHeight="1">
      <c r="C531" s="1077"/>
      <c r="D531" s="1076" t="s">
        <v>2821</v>
      </c>
      <c r="E531" s="4180" t="s">
        <v>3479</v>
      </c>
      <c r="F531" s="4180"/>
      <c r="G531" s="4180"/>
      <c r="H531" s="4180"/>
    </row>
    <row r="532" spans="1:8" ht="3" customHeight="1">
      <c r="D532" s="483"/>
      <c r="E532" s="2626"/>
      <c r="F532" s="2626"/>
      <c r="G532" s="2626"/>
      <c r="H532" s="2626"/>
    </row>
    <row r="533" spans="1:8" ht="12.75" customHeight="1">
      <c r="C533" s="461" t="s">
        <v>3474</v>
      </c>
      <c r="D533" s="483" t="s">
        <v>214</v>
      </c>
      <c r="E533" s="484"/>
      <c r="F533" s="480" t="s">
        <v>3475</v>
      </c>
      <c r="G533" s="480"/>
      <c r="H533" s="480"/>
    </row>
    <row r="534" spans="1:8" ht="12.75" customHeight="1">
      <c r="C534" s="485" t="s">
        <v>340</v>
      </c>
      <c r="D534" s="483" t="s">
        <v>222</v>
      </c>
      <c r="E534" s="4177" t="s">
        <v>3476</v>
      </c>
      <c r="F534" s="4177"/>
      <c r="G534" s="4177"/>
      <c r="H534" s="4177"/>
    </row>
    <row r="535" spans="1:8" ht="12.75" customHeight="1">
      <c r="C535" s="2621" t="s">
        <v>3477</v>
      </c>
      <c r="E535" s="4177" t="s">
        <v>3478</v>
      </c>
      <c r="F535" s="4177"/>
      <c r="G535" s="4177"/>
      <c r="H535" s="4177"/>
    </row>
    <row r="536" spans="1:8" ht="12.75" customHeight="1">
      <c r="C536" s="1077"/>
      <c r="D536" s="1076" t="s">
        <v>2821</v>
      </c>
      <c r="E536" s="4180" t="s">
        <v>3479</v>
      </c>
      <c r="F536" s="4180"/>
      <c r="G536" s="4180"/>
      <c r="H536" s="4180"/>
    </row>
    <row r="537" spans="1:8" ht="6" customHeight="1">
      <c r="D537" s="483"/>
      <c r="E537" s="2626"/>
      <c r="F537" s="2626"/>
      <c r="G537" s="2626"/>
      <c r="H537" s="2626"/>
    </row>
    <row r="538" spans="1:8">
      <c r="A538" s="464" t="s">
        <v>3471</v>
      </c>
      <c r="B538" s="481" t="str">
        <f>IF('Part V-Revenues &amp; Expenses'!$M$56=0,"",'Part V-Revenues &amp; Expenses'!$M$56)</f>
        <v/>
      </c>
      <c r="C538" s="464" t="s">
        <v>3482</v>
      </c>
      <c r="D538" s="482" t="s">
        <v>3483</v>
      </c>
    </row>
    <row r="539" spans="1:8" ht="2.1" customHeight="1"/>
    <row r="540" spans="1:8" ht="12.75" customHeight="1">
      <c r="C540" s="461" t="s">
        <v>3474</v>
      </c>
      <c r="D540" s="483" t="s">
        <v>214</v>
      </c>
      <c r="E540" s="484"/>
      <c r="F540" s="480" t="s">
        <v>3475</v>
      </c>
      <c r="G540" s="480"/>
      <c r="H540" s="480"/>
    </row>
    <row r="541" spans="1:8" ht="12.75" customHeight="1">
      <c r="C541" s="485" t="s">
        <v>340</v>
      </c>
      <c r="D541" s="483" t="s">
        <v>222</v>
      </c>
      <c r="E541" s="4177" t="s">
        <v>3476</v>
      </c>
      <c r="F541" s="4177"/>
      <c r="G541" s="4177"/>
      <c r="H541" s="4177"/>
    </row>
    <row r="542" spans="1:8" ht="12.75" customHeight="1">
      <c r="C542" s="2621" t="s">
        <v>3477</v>
      </c>
      <c r="E542" s="4177" t="s">
        <v>3478</v>
      </c>
      <c r="F542" s="4177"/>
      <c r="G542" s="4177"/>
      <c r="H542" s="4177"/>
    </row>
    <row r="543" spans="1:8" ht="12.75" customHeight="1">
      <c r="C543" s="1077"/>
      <c r="D543" s="486" t="s">
        <v>2821</v>
      </c>
      <c r="E543" s="4177" t="s">
        <v>3479</v>
      </c>
      <c r="F543" s="4177"/>
      <c r="G543" s="4177"/>
      <c r="H543" s="4177"/>
    </row>
    <row r="544" spans="1:8" ht="3" customHeight="1">
      <c r="D544" s="483"/>
      <c r="E544" s="2626"/>
      <c r="F544" s="2626"/>
      <c r="G544" s="2626"/>
      <c r="H544" s="2626"/>
    </row>
    <row r="545" spans="1:8" ht="12.75" customHeight="1">
      <c r="C545" s="461" t="s">
        <v>3474</v>
      </c>
      <c r="D545" s="483" t="s">
        <v>214</v>
      </c>
      <c r="E545" s="484"/>
      <c r="F545" s="480" t="s">
        <v>3475</v>
      </c>
      <c r="G545" s="480"/>
      <c r="H545" s="480"/>
    </row>
    <row r="546" spans="1:8" ht="12.75" customHeight="1">
      <c r="C546" s="485" t="s">
        <v>340</v>
      </c>
      <c r="D546" s="483" t="s">
        <v>222</v>
      </c>
      <c r="E546" s="4177" t="s">
        <v>3476</v>
      </c>
      <c r="F546" s="4177"/>
      <c r="G546" s="4177"/>
      <c r="H546" s="4177"/>
    </row>
    <row r="547" spans="1:8" ht="12.75" customHeight="1">
      <c r="C547" s="2621" t="s">
        <v>3477</v>
      </c>
      <c r="E547" s="4177" t="s">
        <v>3478</v>
      </c>
      <c r="F547" s="4177"/>
      <c r="G547" s="4177"/>
      <c r="H547" s="4177"/>
    </row>
    <row r="548" spans="1:8" ht="12.75" customHeight="1">
      <c r="C548" s="1077"/>
      <c r="D548" s="1076" t="s">
        <v>2821</v>
      </c>
      <c r="E548" s="4180" t="s">
        <v>3479</v>
      </c>
      <c r="F548" s="4180"/>
      <c r="G548" s="4180"/>
      <c r="H548" s="4180"/>
    </row>
    <row r="549" spans="1:8" ht="3" customHeight="1">
      <c r="D549" s="483"/>
      <c r="E549" s="2626"/>
      <c r="F549" s="2626"/>
      <c r="G549" s="2626"/>
      <c r="H549" s="2626"/>
    </row>
    <row r="550" spans="1:8" ht="12.75" customHeight="1">
      <c r="C550" s="461" t="s">
        <v>3474</v>
      </c>
      <c r="D550" s="483" t="s">
        <v>214</v>
      </c>
      <c r="E550" s="484"/>
      <c r="F550" s="480" t="s">
        <v>3475</v>
      </c>
      <c r="G550" s="480"/>
      <c r="H550" s="480"/>
    </row>
    <row r="551" spans="1:8" ht="12.75" customHeight="1">
      <c r="C551" s="485" t="s">
        <v>340</v>
      </c>
      <c r="D551" s="483" t="s">
        <v>222</v>
      </c>
      <c r="E551" s="4177" t="s">
        <v>3476</v>
      </c>
      <c r="F551" s="4177"/>
      <c r="G551" s="4177"/>
      <c r="H551" s="4177"/>
    </row>
    <row r="552" spans="1:8" ht="12.75" customHeight="1">
      <c r="C552" s="2621" t="s">
        <v>3477</v>
      </c>
      <c r="E552" s="4177" t="s">
        <v>3478</v>
      </c>
      <c r="F552" s="4177"/>
      <c r="G552" s="4177"/>
      <c r="H552" s="4177"/>
    </row>
    <row r="553" spans="1:8" ht="12.75" customHeight="1">
      <c r="C553" s="1077"/>
      <c r="D553" s="1076" t="s">
        <v>2821</v>
      </c>
      <c r="E553" s="4180" t="s">
        <v>3479</v>
      </c>
      <c r="F553" s="4180"/>
      <c r="G553" s="4180"/>
      <c r="H553" s="4180"/>
    </row>
    <row r="554" spans="1:8" ht="6" customHeight="1">
      <c r="D554" s="483"/>
      <c r="E554" s="2626"/>
      <c r="F554" s="2626"/>
      <c r="G554" s="2626"/>
      <c r="H554" s="2626"/>
    </row>
    <row r="555" spans="1:8">
      <c r="A555" s="464" t="s">
        <v>3471</v>
      </c>
      <c r="B555" s="481" t="str">
        <f>IF('Part V-Revenues &amp; Expenses'!$N$56=0,"",'Part V-Revenues &amp; Expenses'!$N$56)</f>
        <v/>
      </c>
      <c r="C555" s="464" t="s">
        <v>3484</v>
      </c>
      <c r="D555" s="482" t="s">
        <v>3485</v>
      </c>
    </row>
    <row r="556" spans="1:8" ht="2.1" customHeight="1"/>
    <row r="557" spans="1:8" ht="12.75" customHeight="1">
      <c r="C557" s="461" t="s">
        <v>3474</v>
      </c>
      <c r="D557" s="483" t="s">
        <v>214</v>
      </c>
      <c r="E557" s="484"/>
      <c r="F557" s="480" t="s">
        <v>3475</v>
      </c>
      <c r="G557" s="480"/>
      <c r="H557" s="480"/>
    </row>
    <row r="558" spans="1:8" ht="12.75" customHeight="1">
      <c r="C558" s="485" t="s">
        <v>340</v>
      </c>
      <c r="D558" s="483" t="s">
        <v>222</v>
      </c>
      <c r="E558" s="4177" t="s">
        <v>3476</v>
      </c>
      <c r="F558" s="4177"/>
      <c r="G558" s="4177"/>
      <c r="H558" s="4177"/>
    </row>
    <row r="559" spans="1:8" ht="12.75" customHeight="1">
      <c r="C559" s="2621" t="s">
        <v>3477</v>
      </c>
      <c r="E559" s="4177" t="s">
        <v>3478</v>
      </c>
      <c r="F559" s="4177"/>
      <c r="G559" s="4177"/>
      <c r="H559" s="4177"/>
    </row>
    <row r="560" spans="1:8" ht="12.75" customHeight="1">
      <c r="C560" s="1077"/>
      <c r="D560" s="486" t="s">
        <v>2821</v>
      </c>
      <c r="E560" s="4177" t="s">
        <v>3479</v>
      </c>
      <c r="F560" s="4177"/>
      <c r="G560" s="4177"/>
      <c r="H560" s="4177"/>
    </row>
    <row r="561" spans="1:11" ht="3" customHeight="1">
      <c r="D561" s="483"/>
      <c r="E561" s="2626"/>
      <c r="F561" s="2626"/>
      <c r="G561" s="2626"/>
      <c r="H561" s="2626"/>
    </row>
    <row r="562" spans="1:11" ht="12.75" customHeight="1">
      <c r="C562" s="461" t="s">
        <v>3474</v>
      </c>
      <c r="D562" s="483" t="s">
        <v>214</v>
      </c>
      <c r="E562" s="484"/>
      <c r="F562" s="480" t="s">
        <v>3475</v>
      </c>
      <c r="G562" s="480"/>
      <c r="H562" s="480"/>
    </row>
    <row r="563" spans="1:11" ht="12.75" customHeight="1">
      <c r="C563" s="485" t="s">
        <v>340</v>
      </c>
      <c r="D563" s="483" t="s">
        <v>222</v>
      </c>
      <c r="E563" s="4177" t="s">
        <v>3476</v>
      </c>
      <c r="F563" s="4177"/>
      <c r="G563" s="4177"/>
      <c r="H563" s="4177"/>
    </row>
    <row r="564" spans="1:11" ht="12.75" customHeight="1">
      <c r="C564" s="2621" t="s">
        <v>3477</v>
      </c>
      <c r="E564" s="4177" t="s">
        <v>3478</v>
      </c>
      <c r="F564" s="4177"/>
      <c r="G564" s="4177"/>
      <c r="H564" s="4177"/>
    </row>
    <row r="565" spans="1:11" ht="12.75" customHeight="1">
      <c r="C565" s="1077"/>
      <c r="D565" s="1076" t="s">
        <v>2821</v>
      </c>
      <c r="E565" s="4180" t="s">
        <v>3479</v>
      </c>
      <c r="F565" s="4180"/>
      <c r="G565" s="4180"/>
      <c r="H565" s="4180"/>
    </row>
    <row r="566" spans="1:11" ht="3" customHeight="1">
      <c r="D566" s="483"/>
      <c r="E566" s="2626"/>
      <c r="F566" s="2626"/>
      <c r="G566" s="2626"/>
      <c r="H566" s="2626"/>
    </row>
    <row r="567" spans="1:11" ht="12.75" customHeight="1">
      <c r="C567" s="461" t="s">
        <v>3474</v>
      </c>
      <c r="D567" s="483" t="s">
        <v>214</v>
      </c>
      <c r="E567" s="484"/>
      <c r="F567" s="480" t="s">
        <v>3475</v>
      </c>
      <c r="G567" s="480"/>
      <c r="H567" s="480"/>
    </row>
    <row r="568" spans="1:11" ht="12.75" customHeight="1">
      <c r="C568" s="485" t="s">
        <v>340</v>
      </c>
      <c r="D568" s="483" t="s">
        <v>222</v>
      </c>
      <c r="E568" s="4177" t="s">
        <v>3476</v>
      </c>
      <c r="F568" s="4177"/>
      <c r="G568" s="4177"/>
      <c r="H568" s="4177"/>
    </row>
    <row r="569" spans="1:11" ht="12.75" customHeight="1">
      <c r="C569" s="2621" t="s">
        <v>3477</v>
      </c>
      <c r="E569" s="4177" t="s">
        <v>3478</v>
      </c>
      <c r="F569" s="4177"/>
      <c r="G569" s="4177"/>
      <c r="H569" s="4177"/>
    </row>
    <row r="570" spans="1:11" ht="12.75" customHeight="1">
      <c r="C570" s="1077"/>
      <c r="D570" s="1076" t="s">
        <v>2821</v>
      </c>
      <c r="E570" s="4180" t="s">
        <v>3479</v>
      </c>
      <c r="F570" s="4180"/>
      <c r="G570" s="4180"/>
      <c r="H570" s="4180"/>
    </row>
    <row r="571" spans="1:11" ht="6" customHeight="1">
      <c r="D571" s="483"/>
      <c r="E571" s="2626"/>
      <c r="F571" s="2626"/>
      <c r="G571" s="2626"/>
      <c r="H571" s="2626"/>
    </row>
    <row r="572" spans="1:11">
      <c r="A572" s="464" t="s">
        <v>3471</v>
      </c>
      <c r="B572" s="481" t="str">
        <f>IF('Part V-Revenues &amp; Expenses'!$O$56=0,"",'Part V-Revenues &amp; Expenses'!$O$56)</f>
        <v/>
      </c>
      <c r="C572" s="464" t="s">
        <v>3486</v>
      </c>
      <c r="D572" s="482" t="s">
        <v>3487</v>
      </c>
    </row>
    <row r="573" spans="1:11" ht="2.1" customHeight="1"/>
    <row r="574" spans="1:11" ht="12.75" customHeight="1">
      <c r="C574" s="461" t="s">
        <v>3474</v>
      </c>
      <c r="D574" s="483" t="s">
        <v>214</v>
      </c>
      <c r="E574" s="484"/>
      <c r="F574" s="4177" t="s">
        <v>3475</v>
      </c>
      <c r="G574" s="4177"/>
      <c r="H574" s="4177"/>
      <c r="K574" s="314" t="s">
        <v>3016</v>
      </c>
    </row>
    <row r="575" spans="1:11" ht="12.75" customHeight="1">
      <c r="C575" s="485" t="s">
        <v>340</v>
      </c>
      <c r="D575" s="483" t="s">
        <v>222</v>
      </c>
      <c r="E575" s="4177" t="s">
        <v>3488</v>
      </c>
      <c r="F575" s="4177"/>
      <c r="G575" s="4177"/>
      <c r="H575" s="4177"/>
    </row>
    <row r="576" spans="1:11" ht="12.75" customHeight="1">
      <c r="E576" s="4177" t="s">
        <v>3478</v>
      </c>
      <c r="F576" s="4177"/>
      <c r="G576" s="4177"/>
      <c r="H576" s="4177"/>
    </row>
    <row r="577" spans="4:8" ht="12.75" customHeight="1">
      <c r="D577" s="486" t="s">
        <v>2821</v>
      </c>
      <c r="E577" s="4177" t="s">
        <v>3479</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9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42578125" style="96" customWidth="1"/>
    <col min="25" max="25" width="9.28515625" style="96"/>
    <col min="26" max="26" width="9.28515625" style="1282"/>
    <col min="27" max="16384" width="9.28515625" style="96"/>
  </cols>
  <sheetData>
    <row r="1" spans="1:26" s="1314" customFormat="1" ht="13.5" hidden="1" customHeight="1">
      <c r="A1" s="1279"/>
      <c r="D1" s="1314" t="s">
        <v>187</v>
      </c>
      <c r="E1" s="1314" t="s">
        <v>3</v>
      </c>
      <c r="F1" s="1314" t="s">
        <v>188</v>
      </c>
      <c r="H1" s="1314" t="s">
        <v>189</v>
      </c>
      <c r="J1" s="1314" t="s">
        <v>190</v>
      </c>
      <c r="K1" s="1314" t="s">
        <v>191</v>
      </c>
      <c r="L1" s="1314" t="s">
        <v>192</v>
      </c>
      <c r="M1" s="1314" t="s">
        <v>193</v>
      </c>
      <c r="O1" s="1314" t="s">
        <v>194</v>
      </c>
      <c r="Q1" s="1314" t="s">
        <v>195</v>
      </c>
      <c r="Z1" s="1281">
        <v>1</v>
      </c>
    </row>
    <row r="2" spans="1:26" s="95" customFormat="1" ht="14.25"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1"/>
      <c r="U2" s="2511"/>
      <c r="V2" s="2511"/>
      <c r="W2" s="2511"/>
      <c r="X2" s="2511"/>
      <c r="Y2" s="2511"/>
      <c r="Z2" s="1281">
        <v>2</v>
      </c>
    </row>
    <row r="3" spans="1:26" ht="12" customHeight="1" thickBot="1">
      <c r="A3" s="564" t="s">
        <v>196</v>
      </c>
      <c r="B3" s="565"/>
      <c r="C3" s="565"/>
      <c r="D3" s="565"/>
      <c r="E3" s="565"/>
      <c r="F3" s="565"/>
      <c r="G3" s="565"/>
      <c r="H3" s="565"/>
      <c r="I3" s="565"/>
      <c r="J3" s="565"/>
      <c r="K3" s="565"/>
      <c r="L3" s="565"/>
      <c r="M3" s="565"/>
      <c r="N3" s="565"/>
      <c r="O3" s="565"/>
      <c r="P3" s="565"/>
      <c r="Q3" s="565"/>
      <c r="R3" s="565"/>
      <c r="S3" s="565"/>
      <c r="Z3" s="1281">
        <v>3</v>
      </c>
    </row>
    <row r="4" spans="1:26" s="95" customFormat="1" ht="13.5" customHeight="1" thickBot="1">
      <c r="A4" s="151" t="s">
        <v>21</v>
      </c>
      <c r="B4" s="134" t="s">
        <v>197</v>
      </c>
      <c r="C4" s="134"/>
      <c r="D4" s="2511"/>
      <c r="E4" s="134"/>
      <c r="F4" s="134"/>
      <c r="G4" s="134"/>
      <c r="H4" s="706" t="s">
        <v>198</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8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199</v>
      </c>
      <c r="C6" s="134" t="s">
        <v>200</v>
      </c>
      <c r="D6" s="2511"/>
      <c r="E6" s="2511"/>
      <c r="F6" s="2511"/>
      <c r="G6" s="2511"/>
      <c r="H6" s="2673" t="s">
        <v>201</v>
      </c>
      <c r="I6" s="4295"/>
      <c r="J6" s="4295"/>
      <c r="K6" s="4295"/>
      <c r="L6" s="4295"/>
      <c r="M6" s="4295"/>
      <c r="N6" s="4296"/>
      <c r="O6" s="164" t="s">
        <v>202</v>
      </c>
      <c r="P6" s="164"/>
      <c r="Q6" s="2673"/>
      <c r="R6" s="4295"/>
      <c r="S6" s="4296"/>
      <c r="T6" s="2511"/>
      <c r="U6" s="2511"/>
      <c r="V6" s="2511"/>
      <c r="W6" s="2511"/>
      <c r="X6" s="2511"/>
      <c r="Y6" s="626"/>
      <c r="Z6" s="1281">
        <v>6</v>
      </c>
    </row>
    <row r="7" spans="1:26" s="95" customFormat="1" ht="11.25" customHeight="1">
      <c r="A7" s="2511"/>
      <c r="B7" s="2511"/>
      <c r="C7" s="2511"/>
      <c r="D7" s="165"/>
      <c r="E7" s="2517" t="s">
        <v>203</v>
      </c>
      <c r="F7" s="154"/>
      <c r="G7" s="2511"/>
      <c r="H7" s="2646"/>
      <c r="I7" s="4297"/>
      <c r="J7" s="4297"/>
      <c r="K7" s="4298"/>
      <c r="L7" s="4297"/>
      <c r="M7" s="4297"/>
      <c r="N7" s="4299"/>
      <c r="O7" s="164" t="s">
        <v>204</v>
      </c>
      <c r="P7" s="166"/>
      <c r="Q7" s="2705"/>
      <c r="R7" s="4300"/>
      <c r="S7" s="4301"/>
      <c r="T7" s="2511"/>
      <c r="U7" s="2511"/>
      <c r="V7" s="626"/>
      <c r="W7" s="626"/>
      <c r="X7" s="626"/>
      <c r="Y7" s="626"/>
      <c r="Z7" s="1281">
        <v>7</v>
      </c>
    </row>
    <row r="8" spans="1:26" s="95" customFormat="1" ht="11.25" customHeight="1">
      <c r="A8" s="2511"/>
      <c r="B8" s="2511"/>
      <c r="C8" s="2511"/>
      <c r="D8" s="165"/>
      <c r="E8" s="2517" t="s">
        <v>58</v>
      </c>
      <c r="F8" s="2511"/>
      <c r="G8" s="2511"/>
      <c r="H8" s="2646"/>
      <c r="I8" s="4298"/>
      <c r="J8" s="4302"/>
      <c r="K8" s="230" t="s">
        <v>205</v>
      </c>
      <c r="L8" s="2708"/>
      <c r="M8" s="4297"/>
      <c r="N8" s="4299"/>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206</v>
      </c>
      <c r="F9" s="2511"/>
      <c r="G9" s="2511"/>
      <c r="H9" s="753"/>
      <c r="I9" s="512" t="s">
        <v>207</v>
      </c>
      <c r="J9" s="2698"/>
      <c r="K9" s="4303"/>
      <c r="L9" s="166" t="s">
        <v>208</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209</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198</v>
      </c>
      <c r="F11" s="2511"/>
      <c r="G11" s="2511"/>
      <c r="H11" s="168"/>
      <c r="I11" s="166"/>
      <c r="J11" s="166"/>
      <c r="K11" s="206"/>
      <c r="L11" s="166"/>
      <c r="M11" s="166"/>
      <c r="N11" s="231" t="s">
        <v>210</v>
      </c>
      <c r="O11" s="166"/>
      <c r="P11" s="166"/>
      <c r="Q11" s="167"/>
      <c r="R11" s="166"/>
      <c r="S11" s="166"/>
      <c r="T11" s="166"/>
      <c r="U11" s="2511"/>
      <c r="V11" s="2511"/>
      <c r="W11" s="2511"/>
      <c r="X11" s="2511"/>
      <c r="Y11" s="2511"/>
      <c r="Z11" s="1281">
        <v>11</v>
      </c>
    </row>
    <row r="12" spans="1:26" s="95" customFormat="1" ht="4.5"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211</v>
      </c>
      <c r="C13" s="134" t="s">
        <v>212</v>
      </c>
      <c r="D13" s="2511"/>
      <c r="E13" s="2511"/>
      <c r="F13" s="134"/>
      <c r="G13" s="134"/>
      <c r="H13" s="169"/>
      <c r="I13" s="169"/>
      <c r="J13" s="166"/>
      <c r="K13" s="166"/>
      <c r="L13" s="166"/>
      <c r="M13" s="166"/>
      <c r="N13" s="278" t="s">
        <v>213</v>
      </c>
      <c r="O13" s="166"/>
      <c r="P13" s="166"/>
      <c r="Q13" s="166"/>
      <c r="R13" s="166"/>
      <c r="S13" s="166"/>
      <c r="T13" s="2511"/>
      <c r="U13" s="2511"/>
      <c r="V13" s="2511"/>
      <c r="W13" s="278"/>
      <c r="X13" s="278"/>
      <c r="Y13" s="278"/>
      <c r="Z13" s="1281">
        <v>13</v>
      </c>
    </row>
    <row r="14" spans="1:26" s="95" customFormat="1" ht="11.25" customHeight="1">
      <c r="A14" s="2511"/>
      <c r="B14" s="2511"/>
      <c r="C14" s="171" t="s">
        <v>214</v>
      </c>
      <c r="D14" s="159" t="s">
        <v>215</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216</v>
      </c>
      <c r="E15" s="2511" t="s">
        <v>217</v>
      </c>
      <c r="F15" s="2511"/>
      <c r="G15" s="2511"/>
      <c r="H15" s="2673"/>
      <c r="I15" s="4295"/>
      <c r="J15" s="4295"/>
      <c r="K15" s="4295"/>
      <c r="L15" s="4295"/>
      <c r="M15" s="4295"/>
      <c r="N15" s="4296"/>
      <c r="O15" s="164" t="s">
        <v>202</v>
      </c>
      <c r="P15" s="164"/>
      <c r="Q15" s="2673"/>
      <c r="R15" s="4295"/>
      <c r="S15" s="4296"/>
      <c r="T15" s="2511"/>
      <c r="U15" s="2511"/>
      <c r="V15" s="2511"/>
      <c r="W15" s="2511"/>
      <c r="X15" s="2511"/>
      <c r="Y15" s="2511"/>
      <c r="Z15" s="1281">
        <v>15</v>
      </c>
    </row>
    <row r="16" spans="1:26" s="95" customFormat="1" ht="11.25" customHeight="1">
      <c r="A16" s="2511"/>
      <c r="B16" s="2511"/>
      <c r="C16" s="2511"/>
      <c r="D16" s="165"/>
      <c r="E16" s="2517" t="s">
        <v>203</v>
      </c>
      <c r="F16" s="154"/>
      <c r="G16" s="2511"/>
      <c r="H16" s="2646"/>
      <c r="I16" s="4297"/>
      <c r="J16" s="4297"/>
      <c r="K16" s="4298"/>
      <c r="L16" s="4297"/>
      <c r="M16" s="4297"/>
      <c r="N16" s="4299"/>
      <c r="O16" s="164" t="s">
        <v>204</v>
      </c>
      <c r="P16" s="166"/>
      <c r="Q16" s="2705"/>
      <c r="R16" s="4300"/>
      <c r="S16" s="4301"/>
      <c r="T16" s="2511"/>
      <c r="U16" s="2511"/>
      <c r="V16" s="2511"/>
      <c r="W16" s="2511"/>
      <c r="X16" s="2511"/>
      <c r="Y16" s="2511"/>
      <c r="Z16" s="1281">
        <v>16</v>
      </c>
    </row>
    <row r="17" spans="4:26" s="95" customFormat="1" ht="11.25" customHeight="1">
      <c r="D17" s="165"/>
      <c r="E17" s="2517" t="s">
        <v>58</v>
      </c>
      <c r="F17" s="2511"/>
      <c r="G17" s="2511"/>
      <c r="H17" s="2646"/>
      <c r="I17" s="4298"/>
      <c r="J17" s="4302"/>
      <c r="K17" s="167" t="s">
        <v>218</v>
      </c>
      <c r="L17" s="2646"/>
      <c r="M17" s="4297"/>
      <c r="N17" s="4302"/>
      <c r="O17" s="164" t="s">
        <v>43</v>
      </c>
      <c r="P17" s="166"/>
      <c r="Q17" s="2640"/>
      <c r="R17" s="2641"/>
      <c r="S17" s="2642"/>
      <c r="T17" s="2511"/>
      <c r="U17" s="2511"/>
      <c r="V17" s="2511"/>
      <c r="W17" s="2511"/>
      <c r="X17" s="2511"/>
      <c r="Y17" s="2511"/>
      <c r="Z17" s="1281">
        <v>17</v>
      </c>
    </row>
    <row r="18" spans="4:26" s="95" customFormat="1" ht="11.25" customHeight="1">
      <c r="D18" s="151"/>
      <c r="E18" s="2517" t="s">
        <v>206</v>
      </c>
      <c r="F18" s="2511"/>
      <c r="G18" s="2511"/>
      <c r="H18" s="753"/>
      <c r="I18" s="166"/>
      <c r="J18" s="166"/>
      <c r="K18" s="512" t="s">
        <v>207</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209</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5" customHeight="1">
      <c r="D20" s="159"/>
      <c r="H20" s="4304"/>
      <c r="I20" s="4304"/>
      <c r="J20" s="4304"/>
      <c r="K20" s="167"/>
      <c r="L20" s="4304"/>
      <c r="M20" s="4304"/>
      <c r="N20" s="173"/>
      <c r="O20" s="174"/>
      <c r="P20" s="174"/>
      <c r="Q20" s="167"/>
      <c r="R20" s="174"/>
      <c r="S20" s="174"/>
      <c r="Z20" s="1281">
        <v>20</v>
      </c>
    </row>
    <row r="21" spans="4:26" s="95" customFormat="1" ht="11.25" customHeight="1">
      <c r="D21" s="151" t="s">
        <v>219</v>
      </c>
      <c r="E21" s="2511" t="s">
        <v>220</v>
      </c>
      <c r="F21" s="2511"/>
      <c r="G21" s="2511"/>
      <c r="H21" s="2673"/>
      <c r="I21" s="4295"/>
      <c r="J21" s="4295"/>
      <c r="K21" s="4295"/>
      <c r="L21" s="4295"/>
      <c r="M21" s="4295"/>
      <c r="N21" s="4296"/>
      <c r="O21" s="164" t="s">
        <v>202</v>
      </c>
      <c r="P21" s="164"/>
      <c r="Q21" s="2673"/>
      <c r="R21" s="4295"/>
      <c r="S21" s="4296"/>
      <c r="T21" s="2511"/>
      <c r="U21" s="2511"/>
      <c r="V21" s="2511"/>
      <c r="W21" s="2511"/>
      <c r="X21" s="2511"/>
      <c r="Y21" s="2511"/>
      <c r="Z21" s="1281">
        <v>21</v>
      </c>
    </row>
    <row r="22" spans="4:26" s="95" customFormat="1" ht="11.25" customHeight="1">
      <c r="D22" s="165"/>
      <c r="E22" s="2517" t="s">
        <v>203</v>
      </c>
      <c r="F22" s="154"/>
      <c r="G22" s="2511"/>
      <c r="H22" s="2646"/>
      <c r="I22" s="4297"/>
      <c r="J22" s="4297"/>
      <c r="K22" s="4298"/>
      <c r="L22" s="4297"/>
      <c r="M22" s="4297"/>
      <c r="N22" s="4299"/>
      <c r="O22" s="164" t="s">
        <v>204</v>
      </c>
      <c r="P22" s="166"/>
      <c r="Q22" s="2705"/>
      <c r="R22" s="4300"/>
      <c r="S22" s="4301"/>
      <c r="T22" s="2511"/>
      <c r="U22" s="2511"/>
      <c r="V22" s="2511"/>
      <c r="W22" s="2511"/>
      <c r="X22" s="2511"/>
      <c r="Y22" s="2511"/>
      <c r="Z22" s="1281">
        <v>22</v>
      </c>
    </row>
    <row r="23" spans="4:26" s="95" customFormat="1" ht="11.25" customHeight="1">
      <c r="D23" s="165"/>
      <c r="E23" s="2517" t="s">
        <v>58</v>
      </c>
      <c r="F23" s="2511"/>
      <c r="G23" s="2511"/>
      <c r="H23" s="2646"/>
      <c r="I23" s="4298"/>
      <c r="J23" s="4302"/>
      <c r="K23" s="167" t="s">
        <v>218</v>
      </c>
      <c r="L23" s="2646"/>
      <c r="M23" s="4297"/>
      <c r="N23" s="4302"/>
      <c r="O23" s="164" t="s">
        <v>43</v>
      </c>
      <c r="P23" s="166"/>
      <c r="Q23" s="2640"/>
      <c r="R23" s="2641"/>
      <c r="S23" s="2642"/>
      <c r="T23" s="2511"/>
      <c r="U23" s="2511"/>
      <c r="V23" s="2511"/>
      <c r="W23" s="2511"/>
      <c r="X23" s="2511"/>
      <c r="Y23" s="2511"/>
      <c r="Z23" s="1281">
        <v>23</v>
      </c>
    </row>
    <row r="24" spans="4:26" s="95" customFormat="1" ht="11.25" customHeight="1">
      <c r="D24" s="2511"/>
      <c r="E24" s="2517" t="s">
        <v>206</v>
      </c>
      <c r="F24" s="2511"/>
      <c r="G24" s="2511"/>
      <c r="H24" s="753"/>
      <c r="I24" s="166"/>
      <c r="J24" s="166"/>
      <c r="K24" s="512" t="s">
        <v>207</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209</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5" customHeight="1">
      <c r="D26" s="165"/>
      <c r="E26" s="2511"/>
      <c r="F26" s="2511"/>
      <c r="G26" s="2517"/>
      <c r="H26" s="4304"/>
      <c r="I26" s="4304"/>
      <c r="J26" s="4304"/>
      <c r="K26" s="167"/>
      <c r="L26" s="4304"/>
      <c r="M26" s="4304"/>
      <c r="N26" s="173"/>
      <c r="O26" s="174"/>
      <c r="P26" s="174"/>
      <c r="Q26" s="167"/>
      <c r="R26" s="174"/>
      <c r="S26" s="174"/>
      <c r="T26" s="2511"/>
      <c r="U26" s="2511"/>
      <c r="V26" s="2511"/>
      <c r="W26" s="2511"/>
      <c r="X26" s="2511"/>
      <c r="Y26" s="2511"/>
      <c r="Z26" s="1281">
        <v>26</v>
      </c>
    </row>
    <row r="27" spans="4:26" s="95" customFormat="1" ht="11.25" customHeight="1">
      <c r="D27" s="151" t="s">
        <v>221</v>
      </c>
      <c r="E27" s="2511" t="s">
        <v>220</v>
      </c>
      <c r="F27" s="2511"/>
      <c r="G27" s="2511"/>
      <c r="H27" s="2673"/>
      <c r="I27" s="4295"/>
      <c r="J27" s="4295"/>
      <c r="K27" s="4295"/>
      <c r="L27" s="4295"/>
      <c r="M27" s="4295"/>
      <c r="N27" s="4296"/>
      <c r="O27" s="164" t="s">
        <v>202</v>
      </c>
      <c r="P27" s="164"/>
      <c r="Q27" s="2673"/>
      <c r="R27" s="4295"/>
      <c r="S27" s="4296"/>
      <c r="T27" s="2511"/>
      <c r="U27" s="2511"/>
      <c r="V27" s="2511"/>
      <c r="W27" s="2511"/>
      <c r="X27" s="2511"/>
      <c r="Y27" s="2511"/>
      <c r="Z27" s="1281">
        <v>27</v>
      </c>
    </row>
    <row r="28" spans="4:26" s="95" customFormat="1" ht="11.25" customHeight="1">
      <c r="D28" s="165"/>
      <c r="E28" s="2517" t="s">
        <v>203</v>
      </c>
      <c r="F28" s="154"/>
      <c r="G28" s="2511"/>
      <c r="H28" s="2646"/>
      <c r="I28" s="4297"/>
      <c r="J28" s="4297"/>
      <c r="K28" s="4298"/>
      <c r="L28" s="4297"/>
      <c r="M28" s="4297"/>
      <c r="N28" s="4299"/>
      <c r="O28" s="164" t="s">
        <v>204</v>
      </c>
      <c r="P28" s="166"/>
      <c r="Q28" s="2705"/>
      <c r="R28" s="4300"/>
      <c r="S28" s="4301"/>
      <c r="T28" s="2511"/>
      <c r="U28" s="2511"/>
      <c r="V28" s="2511"/>
      <c r="W28" s="2511"/>
      <c r="X28" s="2511"/>
      <c r="Y28" s="2511"/>
      <c r="Z28" s="1281">
        <v>28</v>
      </c>
    </row>
    <row r="29" spans="4:26" s="95" customFormat="1" ht="11.25" customHeight="1">
      <c r="D29" s="165"/>
      <c r="E29" s="2517" t="s">
        <v>58</v>
      </c>
      <c r="F29" s="2511"/>
      <c r="G29" s="2511"/>
      <c r="H29" s="2646"/>
      <c r="I29" s="4298"/>
      <c r="J29" s="4302"/>
      <c r="K29" s="167" t="s">
        <v>218</v>
      </c>
      <c r="L29" s="2646"/>
      <c r="M29" s="4297"/>
      <c r="N29" s="4302"/>
      <c r="O29" s="164" t="s">
        <v>43</v>
      </c>
      <c r="P29" s="166"/>
      <c r="Q29" s="2640"/>
      <c r="R29" s="2641"/>
      <c r="S29" s="2642"/>
      <c r="T29" s="2511"/>
      <c r="U29" s="2511"/>
      <c r="V29" s="2511"/>
      <c r="W29" s="2511"/>
      <c r="X29" s="2511"/>
      <c r="Y29" s="2511"/>
      <c r="Z29" s="1281">
        <v>29</v>
      </c>
    </row>
    <row r="30" spans="4:26" s="95" customFormat="1" ht="11.25" customHeight="1">
      <c r="D30" s="2511"/>
      <c r="E30" s="2517" t="s">
        <v>206</v>
      </c>
      <c r="F30" s="2511"/>
      <c r="G30" s="2511"/>
      <c r="H30" s="753"/>
      <c r="I30" s="166"/>
      <c r="J30" s="166"/>
      <c r="K30" s="512" t="s">
        <v>207</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209</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5" customHeight="1">
      <c r="H32" s="2508"/>
      <c r="I32" s="2508"/>
      <c r="J32" s="2508"/>
      <c r="K32" s="2508"/>
      <c r="L32" s="2508"/>
      <c r="M32" s="2508"/>
      <c r="N32" s="2508"/>
      <c r="O32" s="2508"/>
      <c r="P32" s="2508"/>
      <c r="Q32" s="2508"/>
      <c r="R32" s="2508"/>
      <c r="S32" s="2508"/>
      <c r="Z32" s="1281">
        <v>32</v>
      </c>
    </row>
    <row r="33" spans="3:26" s="95" customFormat="1" ht="11.25" customHeight="1">
      <c r="C33" s="171" t="s">
        <v>222</v>
      </c>
      <c r="D33" s="159" t="s">
        <v>223</v>
      </c>
      <c r="E33" s="2511"/>
      <c r="F33" s="2511"/>
      <c r="G33" s="2511"/>
      <c r="H33" s="166"/>
      <c r="I33" s="166"/>
      <c r="J33" s="166"/>
      <c r="K33" s="939" t="s">
        <v>198</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216</v>
      </c>
      <c r="E34" s="2511" t="s">
        <v>224</v>
      </c>
      <c r="F34" s="2511"/>
      <c r="G34" s="2511"/>
      <c r="H34" s="2673"/>
      <c r="I34" s="4295"/>
      <c r="J34" s="4295"/>
      <c r="K34" s="4295"/>
      <c r="L34" s="4295"/>
      <c r="M34" s="4295"/>
      <c r="N34" s="4296"/>
      <c r="O34" s="164" t="s">
        <v>202</v>
      </c>
      <c r="P34" s="164"/>
      <c r="Q34" s="2673"/>
      <c r="R34" s="4295"/>
      <c r="S34" s="4296"/>
      <c r="T34" s="2511"/>
      <c r="U34" s="2511"/>
      <c r="V34" s="2511"/>
      <c r="W34" s="2511"/>
      <c r="X34" s="2511"/>
      <c r="Y34" s="2511"/>
      <c r="Z34" s="1281">
        <v>34</v>
      </c>
    </row>
    <row r="35" spans="3:26" s="95" customFormat="1" ht="11.25" customHeight="1">
      <c r="C35" s="2511"/>
      <c r="D35" s="165"/>
      <c r="E35" s="2517" t="s">
        <v>203</v>
      </c>
      <c r="F35" s="154"/>
      <c r="G35" s="2511"/>
      <c r="H35" s="2646"/>
      <c r="I35" s="4297"/>
      <c r="J35" s="4297"/>
      <c r="K35" s="4298"/>
      <c r="L35" s="4297"/>
      <c r="M35" s="4297"/>
      <c r="N35" s="4299"/>
      <c r="O35" s="164" t="s">
        <v>204</v>
      </c>
      <c r="P35" s="166"/>
      <c r="Q35" s="2705"/>
      <c r="R35" s="4300"/>
      <c r="S35" s="4301"/>
      <c r="T35" s="2511"/>
      <c r="U35" s="2511"/>
      <c r="V35" s="2511"/>
      <c r="W35" s="2511"/>
      <c r="X35" s="2511"/>
      <c r="Y35" s="2511"/>
      <c r="Z35" s="1281">
        <v>35</v>
      </c>
    </row>
    <row r="36" spans="3:26" s="95" customFormat="1" ht="11.25" customHeight="1">
      <c r="C36" s="2511"/>
      <c r="D36" s="165"/>
      <c r="E36" s="2517" t="s">
        <v>58</v>
      </c>
      <c r="F36" s="2511"/>
      <c r="G36" s="2511"/>
      <c r="H36" s="2646"/>
      <c r="I36" s="4298"/>
      <c r="J36" s="4302"/>
      <c r="K36" s="167" t="s">
        <v>218</v>
      </c>
      <c r="L36" s="2646"/>
      <c r="M36" s="4297"/>
      <c r="N36" s="4302"/>
      <c r="O36" s="164" t="s">
        <v>43</v>
      </c>
      <c r="P36" s="166"/>
      <c r="Q36" s="2640"/>
      <c r="R36" s="2641"/>
      <c r="S36" s="2642"/>
      <c r="T36" s="2511"/>
      <c r="U36" s="2511"/>
      <c r="V36" s="2511"/>
      <c r="W36" s="2511"/>
      <c r="X36" s="2511"/>
      <c r="Y36" s="2511"/>
      <c r="Z36" s="1281">
        <v>36</v>
      </c>
    </row>
    <row r="37" spans="3:26" s="95" customFormat="1" ht="11.25" customHeight="1">
      <c r="C37" s="2511"/>
      <c r="D37" s="2511"/>
      <c r="E37" s="2517" t="s">
        <v>206</v>
      </c>
      <c r="F37" s="2511"/>
      <c r="G37" s="2511"/>
      <c r="H37" s="753"/>
      <c r="I37" s="166"/>
      <c r="J37" s="166"/>
      <c r="K37" s="512" t="s">
        <v>207</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209</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5" customHeight="1">
      <c r="H39" s="4304"/>
      <c r="I39" s="4304"/>
      <c r="J39" s="4304"/>
      <c r="K39" s="167"/>
      <c r="L39" s="4304"/>
      <c r="M39" s="4304"/>
      <c r="N39" s="173"/>
      <c r="O39" s="174"/>
      <c r="P39" s="174"/>
      <c r="Q39" s="167"/>
      <c r="R39" s="174"/>
      <c r="S39" s="174"/>
      <c r="Z39" s="1281">
        <v>39</v>
      </c>
    </row>
    <row r="40" spans="3:26" s="95" customFormat="1" ht="11.25" customHeight="1">
      <c r="C40" s="2511"/>
      <c r="D40" s="151" t="s">
        <v>219</v>
      </c>
      <c r="E40" s="2511" t="s">
        <v>225</v>
      </c>
      <c r="F40" s="151"/>
      <c r="G40" s="2511"/>
      <c r="H40" s="2673"/>
      <c r="I40" s="4295"/>
      <c r="J40" s="4295"/>
      <c r="K40" s="4295"/>
      <c r="L40" s="4295"/>
      <c r="M40" s="4295"/>
      <c r="N40" s="4296"/>
      <c r="O40" s="164" t="s">
        <v>202</v>
      </c>
      <c r="P40" s="164"/>
      <c r="Q40" s="2673"/>
      <c r="R40" s="4295"/>
      <c r="S40" s="4296"/>
      <c r="T40" s="2511"/>
      <c r="U40" s="2511"/>
      <c r="V40" s="2511"/>
      <c r="W40" s="2511"/>
      <c r="X40" s="2511"/>
      <c r="Y40" s="2511"/>
      <c r="Z40" s="1281">
        <v>40</v>
      </c>
    </row>
    <row r="41" spans="3:26" s="95" customFormat="1" ht="11.25" customHeight="1">
      <c r="C41" s="2511"/>
      <c r="D41" s="165"/>
      <c r="E41" s="2517" t="s">
        <v>203</v>
      </c>
      <c r="F41" s="154"/>
      <c r="G41" s="2511"/>
      <c r="H41" s="2646"/>
      <c r="I41" s="4297"/>
      <c r="J41" s="4297"/>
      <c r="K41" s="4298"/>
      <c r="L41" s="4297"/>
      <c r="M41" s="4297"/>
      <c r="N41" s="4299"/>
      <c r="O41" s="164" t="s">
        <v>204</v>
      </c>
      <c r="P41" s="166"/>
      <c r="Q41" s="2705"/>
      <c r="R41" s="4300"/>
      <c r="S41" s="4301"/>
      <c r="T41" s="2511"/>
      <c r="U41" s="2511"/>
      <c r="V41" s="2511"/>
      <c r="W41" s="2511"/>
      <c r="X41" s="2511"/>
      <c r="Y41" s="2511"/>
      <c r="Z41" s="1281">
        <v>41</v>
      </c>
    </row>
    <row r="42" spans="3:26" s="95" customFormat="1" ht="11.25" customHeight="1">
      <c r="C42" s="2511"/>
      <c r="D42" s="165"/>
      <c r="E42" s="2517" t="s">
        <v>58</v>
      </c>
      <c r="F42" s="2511"/>
      <c r="G42" s="2511"/>
      <c r="H42" s="2646"/>
      <c r="I42" s="4298"/>
      <c r="J42" s="4302"/>
      <c r="K42" s="167" t="s">
        <v>218</v>
      </c>
      <c r="L42" s="2646"/>
      <c r="M42" s="4297"/>
      <c r="N42" s="4302"/>
      <c r="O42" s="164" t="s">
        <v>43</v>
      </c>
      <c r="P42" s="166"/>
      <c r="Q42" s="2640"/>
      <c r="R42" s="2641"/>
      <c r="S42" s="2642"/>
      <c r="T42" s="2511"/>
      <c r="U42" s="2511"/>
      <c r="V42" s="2511"/>
      <c r="W42" s="2511"/>
      <c r="X42" s="2511"/>
      <c r="Y42" s="2511"/>
      <c r="Z42" s="1281">
        <v>42</v>
      </c>
    </row>
    <row r="43" spans="3:26" s="95" customFormat="1" ht="11.25" customHeight="1">
      <c r="C43" s="2511"/>
      <c r="D43" s="151"/>
      <c r="E43" s="2517" t="s">
        <v>206</v>
      </c>
      <c r="F43" s="2511"/>
      <c r="G43" s="2511"/>
      <c r="H43" s="753"/>
      <c r="I43" s="166"/>
      <c r="J43" s="166"/>
      <c r="K43" s="512" t="s">
        <v>207</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209</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5"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226</v>
      </c>
      <c r="D46" s="159" t="s">
        <v>227</v>
      </c>
      <c r="E46" s="2511"/>
      <c r="F46" s="2511"/>
      <c r="G46" s="2511"/>
      <c r="H46" s="166"/>
      <c r="I46" s="166"/>
      <c r="J46" s="166"/>
      <c r="K46" s="939" t="s">
        <v>198</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228</v>
      </c>
      <c r="F47" s="2511"/>
      <c r="G47" s="2511"/>
      <c r="H47" s="2673"/>
      <c r="I47" s="4295"/>
      <c r="J47" s="4295"/>
      <c r="K47" s="4295"/>
      <c r="L47" s="4295"/>
      <c r="M47" s="4295"/>
      <c r="N47" s="4296"/>
      <c r="O47" s="164" t="s">
        <v>202</v>
      </c>
      <c r="P47" s="164"/>
      <c r="Q47" s="2673"/>
      <c r="R47" s="4295"/>
      <c r="S47" s="4296"/>
      <c r="T47" s="2511"/>
      <c r="U47" s="2511"/>
      <c r="V47" s="2511"/>
      <c r="W47" s="2511"/>
      <c r="X47" s="2511"/>
      <c r="Y47" s="2511"/>
      <c r="Z47" s="1281">
        <v>47</v>
      </c>
    </row>
    <row r="48" spans="3:26" s="95" customFormat="1" ht="11.25" customHeight="1">
      <c r="C48" s="2511"/>
      <c r="D48" s="165"/>
      <c r="E48" s="2517" t="s">
        <v>203</v>
      </c>
      <c r="F48" s="154"/>
      <c r="G48" s="2511"/>
      <c r="H48" s="2646"/>
      <c r="I48" s="4297"/>
      <c r="J48" s="4297"/>
      <c r="K48" s="4298"/>
      <c r="L48" s="4297"/>
      <c r="M48" s="4297"/>
      <c r="N48" s="4299"/>
      <c r="O48" s="164" t="s">
        <v>204</v>
      </c>
      <c r="P48" s="166"/>
      <c r="Q48" s="2705"/>
      <c r="R48" s="4300"/>
      <c r="S48" s="4301"/>
      <c r="T48" s="2511"/>
      <c r="U48" s="2511"/>
      <c r="V48" s="2511"/>
      <c r="W48" s="2511"/>
      <c r="X48" s="2511"/>
      <c r="Y48" s="2511"/>
      <c r="Z48" s="1281">
        <v>48</v>
      </c>
    </row>
    <row r="49" spans="1:26" s="95" customFormat="1" ht="11.25" customHeight="1">
      <c r="A49" s="2511"/>
      <c r="B49" s="2511"/>
      <c r="C49" s="2511"/>
      <c r="D49" s="165"/>
      <c r="E49" s="2517" t="s">
        <v>58</v>
      </c>
      <c r="F49" s="2511"/>
      <c r="G49" s="2511"/>
      <c r="H49" s="2646"/>
      <c r="I49" s="4298"/>
      <c r="J49" s="4302"/>
      <c r="K49" s="167" t="s">
        <v>218</v>
      </c>
      <c r="L49" s="2646"/>
      <c r="M49" s="4297"/>
      <c r="N49" s="4302"/>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206</v>
      </c>
      <c r="F50" s="2511"/>
      <c r="G50" s="2511"/>
      <c r="H50" s="753"/>
      <c r="I50" s="166"/>
      <c r="J50" s="166"/>
      <c r="K50" s="512" t="s">
        <v>207</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209</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5" customHeight="1">
      <c r="A53" s="151" t="s">
        <v>25</v>
      </c>
      <c r="B53" s="151" t="s">
        <v>229</v>
      </c>
      <c r="C53" s="2511"/>
      <c r="D53" s="2511"/>
      <c r="E53" s="2511"/>
      <c r="F53" s="151"/>
      <c r="G53" s="2512"/>
      <c r="H53" s="167"/>
      <c r="I53" s="167"/>
      <c r="J53" s="166"/>
      <c r="K53" s="939" t="s">
        <v>198</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199</v>
      </c>
      <c r="C55" s="151" t="s">
        <v>230</v>
      </c>
      <c r="D55" s="2511"/>
      <c r="E55" s="2511"/>
      <c r="F55" s="2511"/>
      <c r="G55" s="2511"/>
      <c r="H55" s="2673"/>
      <c r="I55" s="4295"/>
      <c r="J55" s="4295"/>
      <c r="K55" s="4295"/>
      <c r="L55" s="4295"/>
      <c r="M55" s="4295"/>
      <c r="N55" s="4296"/>
      <c r="O55" s="164" t="s">
        <v>202</v>
      </c>
      <c r="P55" s="164"/>
      <c r="Q55" s="2673"/>
      <c r="R55" s="4295"/>
      <c r="S55" s="4296"/>
      <c r="T55" s="2511"/>
      <c r="U55" s="2511"/>
      <c r="V55" s="2511"/>
      <c r="W55" s="2511"/>
      <c r="X55" s="2511"/>
      <c r="Y55" s="2511"/>
      <c r="Z55" s="1281">
        <v>55</v>
      </c>
    </row>
    <row r="56" spans="1:26" s="95" customFormat="1" ht="11.25" customHeight="1">
      <c r="A56" s="2511"/>
      <c r="B56" s="2511"/>
      <c r="C56" s="2511"/>
      <c r="D56" s="165"/>
      <c r="E56" s="2517" t="s">
        <v>203</v>
      </c>
      <c r="F56" s="154"/>
      <c r="G56" s="2511"/>
      <c r="H56" s="2646"/>
      <c r="I56" s="4297"/>
      <c r="J56" s="4297"/>
      <c r="K56" s="4298"/>
      <c r="L56" s="4297"/>
      <c r="M56" s="4297"/>
      <c r="N56" s="4299"/>
      <c r="O56" s="164" t="s">
        <v>204</v>
      </c>
      <c r="P56" s="166"/>
      <c r="Q56" s="2705"/>
      <c r="R56" s="4300"/>
      <c r="S56" s="4301"/>
      <c r="T56" s="2511"/>
      <c r="U56" s="2511"/>
      <c r="V56" s="2511"/>
      <c r="W56" s="2511"/>
      <c r="X56" s="2511"/>
      <c r="Y56" s="2511"/>
      <c r="Z56" s="1281">
        <v>56</v>
      </c>
    </row>
    <row r="57" spans="1:26" s="95" customFormat="1" ht="11.25" customHeight="1">
      <c r="A57" s="2511"/>
      <c r="B57" s="2511"/>
      <c r="C57" s="2511"/>
      <c r="D57" s="165"/>
      <c r="E57" s="2517" t="s">
        <v>58</v>
      </c>
      <c r="F57" s="2511"/>
      <c r="G57" s="2511"/>
      <c r="H57" s="2646"/>
      <c r="I57" s="4298"/>
      <c r="J57" s="4302"/>
      <c r="K57" s="167" t="s">
        <v>218</v>
      </c>
      <c r="L57" s="2646"/>
      <c r="M57" s="4297"/>
      <c r="N57" s="4302"/>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206</v>
      </c>
      <c r="F58" s="2511"/>
      <c r="G58" s="2511"/>
      <c r="H58" s="753"/>
      <c r="I58" s="166"/>
      <c r="J58" s="166"/>
      <c r="K58" s="512" t="s">
        <v>207</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209</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75" customHeight="1">
      <c r="A60" s="2511"/>
      <c r="B60" s="2511"/>
      <c r="C60" s="2511"/>
      <c r="D60" s="165"/>
      <c r="E60" s="2511"/>
      <c r="F60" s="2511"/>
      <c r="G60" s="2517"/>
      <c r="H60" s="4304"/>
      <c r="I60" s="4304"/>
      <c r="J60" s="4304"/>
      <c r="K60" s="167"/>
      <c r="L60" s="4304"/>
      <c r="M60" s="4304"/>
      <c r="N60" s="173"/>
      <c r="O60" s="174"/>
      <c r="P60" s="174"/>
      <c r="Q60" s="167"/>
      <c r="R60" s="174"/>
      <c r="S60" s="174"/>
      <c r="T60" s="2511"/>
      <c r="U60" s="2511"/>
      <c r="V60" s="2511"/>
      <c r="W60" s="2511"/>
      <c r="X60" s="2511"/>
      <c r="Y60" s="2511"/>
      <c r="Z60" s="1281">
        <v>60</v>
      </c>
    </row>
    <row r="61" spans="1:26" s="95" customFormat="1" ht="11.25" customHeight="1">
      <c r="A61" s="2511"/>
      <c r="B61" s="151" t="s">
        <v>211</v>
      </c>
      <c r="C61" s="151" t="s">
        <v>231</v>
      </c>
      <c r="D61" s="2511"/>
      <c r="E61" s="2511"/>
      <c r="F61" s="2511"/>
      <c r="G61" s="2511"/>
      <c r="H61" s="2673"/>
      <c r="I61" s="4295"/>
      <c r="J61" s="4295"/>
      <c r="K61" s="4295"/>
      <c r="L61" s="4295"/>
      <c r="M61" s="4295"/>
      <c r="N61" s="4296"/>
      <c r="O61" s="164" t="s">
        <v>202</v>
      </c>
      <c r="P61" s="164"/>
      <c r="Q61" s="2673"/>
      <c r="R61" s="4295"/>
      <c r="S61" s="4296"/>
      <c r="T61" s="2511"/>
      <c r="U61" s="2511"/>
      <c r="V61" s="2511"/>
      <c r="W61" s="2511"/>
      <c r="X61" s="2511"/>
      <c r="Y61" s="2511"/>
      <c r="Z61" s="1281">
        <v>61</v>
      </c>
    </row>
    <row r="62" spans="1:26" s="95" customFormat="1" ht="11.25" customHeight="1">
      <c r="A62" s="2511"/>
      <c r="B62" s="2511"/>
      <c r="C62" s="2511"/>
      <c r="D62" s="165"/>
      <c r="E62" s="2517" t="s">
        <v>203</v>
      </c>
      <c r="F62" s="154"/>
      <c r="G62" s="2511"/>
      <c r="H62" s="2646"/>
      <c r="I62" s="4297"/>
      <c r="J62" s="4297"/>
      <c r="K62" s="4298"/>
      <c r="L62" s="4297"/>
      <c r="M62" s="4297"/>
      <c r="N62" s="4299"/>
      <c r="O62" s="164" t="s">
        <v>204</v>
      </c>
      <c r="P62" s="166"/>
      <c r="Q62" s="2705"/>
      <c r="R62" s="4300"/>
      <c r="S62" s="4301"/>
      <c r="T62" s="2511"/>
      <c r="U62" s="2511"/>
      <c r="V62" s="2511"/>
      <c r="W62" s="2511"/>
      <c r="X62" s="2511"/>
      <c r="Y62" s="2511"/>
      <c r="Z62" s="1281">
        <v>62</v>
      </c>
    </row>
    <row r="63" spans="1:26" s="95" customFormat="1" ht="11.25" customHeight="1">
      <c r="A63" s="2511"/>
      <c r="B63" s="2511"/>
      <c r="C63" s="2511"/>
      <c r="D63" s="165"/>
      <c r="E63" s="2517" t="s">
        <v>58</v>
      </c>
      <c r="F63" s="2511"/>
      <c r="G63" s="2511"/>
      <c r="H63" s="2646"/>
      <c r="I63" s="4298"/>
      <c r="J63" s="4302"/>
      <c r="K63" s="167" t="s">
        <v>218</v>
      </c>
      <c r="L63" s="2646"/>
      <c r="M63" s="4297"/>
      <c r="N63" s="4302"/>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206</v>
      </c>
      <c r="F64" s="2511"/>
      <c r="G64" s="2511"/>
      <c r="H64" s="753"/>
      <c r="I64" s="166"/>
      <c r="J64" s="166"/>
      <c r="K64" s="512" t="s">
        <v>207</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209</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75" customHeight="1">
      <c r="A66" s="2511"/>
      <c r="B66" s="2511"/>
      <c r="C66" s="2511"/>
      <c r="D66" s="165"/>
      <c r="E66" s="2511"/>
      <c r="F66" s="2511"/>
      <c r="G66" s="2517"/>
      <c r="H66" s="4304"/>
      <c r="I66" s="4304"/>
      <c r="J66" s="4304"/>
      <c r="K66" s="167"/>
      <c r="L66" s="4304"/>
      <c r="M66" s="4304"/>
      <c r="N66" s="173"/>
      <c r="O66" s="174"/>
      <c r="P66" s="174"/>
      <c r="Q66" s="167"/>
      <c r="R66" s="174"/>
      <c r="S66" s="174"/>
      <c r="T66" s="2511"/>
      <c r="U66" s="2511"/>
      <c r="V66" s="2511"/>
      <c r="W66" s="2511"/>
      <c r="X66" s="2511"/>
      <c r="Y66" s="2511"/>
      <c r="Z66" s="1281">
        <v>66</v>
      </c>
    </row>
    <row r="67" spans="1:26" s="95" customFormat="1" ht="11.25" customHeight="1">
      <c r="A67" s="2511"/>
      <c r="B67" s="151" t="s">
        <v>232</v>
      </c>
      <c r="C67" s="151" t="s">
        <v>233</v>
      </c>
      <c r="D67" s="2511"/>
      <c r="E67" s="2511"/>
      <c r="F67" s="2511"/>
      <c r="G67" s="2511"/>
      <c r="H67" s="2673"/>
      <c r="I67" s="4295"/>
      <c r="J67" s="4295"/>
      <c r="K67" s="4295"/>
      <c r="L67" s="4295"/>
      <c r="M67" s="4295"/>
      <c r="N67" s="4296"/>
      <c r="O67" s="164" t="s">
        <v>202</v>
      </c>
      <c r="P67" s="164"/>
      <c r="Q67" s="2673"/>
      <c r="R67" s="4295"/>
      <c r="S67" s="4296"/>
      <c r="T67" s="2511"/>
      <c r="U67" s="2511"/>
      <c r="V67" s="2511"/>
      <c r="W67" s="2511"/>
      <c r="X67" s="2511"/>
      <c r="Y67" s="2511"/>
      <c r="Z67" s="1281">
        <v>67</v>
      </c>
    </row>
    <row r="68" spans="1:26" s="95" customFormat="1" ht="11.25" customHeight="1">
      <c r="A68" s="2511"/>
      <c r="B68" s="2511"/>
      <c r="C68" s="2511"/>
      <c r="D68" s="165"/>
      <c r="E68" s="2517" t="s">
        <v>203</v>
      </c>
      <c r="F68" s="154"/>
      <c r="G68" s="2511"/>
      <c r="H68" s="2646"/>
      <c r="I68" s="4297"/>
      <c r="J68" s="4297"/>
      <c r="K68" s="4298"/>
      <c r="L68" s="4297"/>
      <c r="M68" s="4297"/>
      <c r="N68" s="4299"/>
      <c r="O68" s="164" t="s">
        <v>204</v>
      </c>
      <c r="P68" s="166"/>
      <c r="Q68" s="2705"/>
      <c r="R68" s="4300"/>
      <c r="S68" s="4301"/>
      <c r="T68" s="2511"/>
      <c r="U68" s="2511"/>
      <c r="V68" s="2511"/>
      <c r="W68" s="2511"/>
      <c r="X68" s="2511"/>
      <c r="Y68" s="2511"/>
      <c r="Z68" s="1281">
        <v>68</v>
      </c>
    </row>
    <row r="69" spans="1:26" s="95" customFormat="1" ht="11.25" customHeight="1">
      <c r="A69" s="2511"/>
      <c r="B69" s="2511"/>
      <c r="C69" s="2511"/>
      <c r="D69" s="165"/>
      <c r="E69" s="2517" t="s">
        <v>58</v>
      </c>
      <c r="F69" s="2511"/>
      <c r="G69" s="2511"/>
      <c r="H69" s="2646"/>
      <c r="I69" s="4298"/>
      <c r="J69" s="4302"/>
      <c r="K69" s="167" t="s">
        <v>218</v>
      </c>
      <c r="L69" s="2646"/>
      <c r="M69" s="4297"/>
      <c r="N69" s="4302"/>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206</v>
      </c>
      <c r="F70" s="2511"/>
      <c r="G70" s="2511"/>
      <c r="H70" s="753"/>
      <c r="I70" s="166"/>
      <c r="J70" s="166"/>
      <c r="K70" s="512" t="s">
        <v>207</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209</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75" customHeight="1">
      <c r="H72" s="4304"/>
      <c r="I72" s="4304"/>
      <c r="J72" s="4304"/>
      <c r="K72" s="167"/>
      <c r="L72" s="4304"/>
      <c r="M72" s="4304"/>
      <c r="N72" s="173"/>
      <c r="O72" s="174"/>
      <c r="P72" s="174"/>
      <c r="Q72" s="167"/>
      <c r="R72" s="174"/>
      <c r="S72" s="174"/>
      <c r="Z72" s="1281">
        <v>72</v>
      </c>
    </row>
    <row r="73" spans="1:26" s="95" customFormat="1" ht="11.25" customHeight="1">
      <c r="A73" s="2511"/>
      <c r="B73" s="151" t="s">
        <v>234</v>
      </c>
      <c r="C73" s="151" t="s">
        <v>235</v>
      </c>
      <c r="D73" s="2511"/>
      <c r="E73" s="2511"/>
      <c r="F73" s="2511"/>
      <c r="G73" s="2511"/>
      <c r="H73" s="2673"/>
      <c r="I73" s="4295"/>
      <c r="J73" s="4295"/>
      <c r="K73" s="4295"/>
      <c r="L73" s="4295"/>
      <c r="M73" s="4295"/>
      <c r="N73" s="4296"/>
      <c r="O73" s="164" t="s">
        <v>202</v>
      </c>
      <c r="P73" s="164"/>
      <c r="Q73" s="2673"/>
      <c r="R73" s="4295"/>
      <c r="S73" s="4296"/>
      <c r="T73" s="2511"/>
      <c r="U73" s="2511"/>
      <c r="V73" s="2511"/>
      <c r="W73" s="2511"/>
      <c r="X73" s="2511"/>
      <c r="Y73" s="2511"/>
      <c r="Z73" s="1281">
        <v>73</v>
      </c>
    </row>
    <row r="74" spans="1:26" s="95" customFormat="1" ht="11.25" customHeight="1">
      <c r="A74" s="2511"/>
      <c r="B74" s="2511"/>
      <c r="C74" s="2511"/>
      <c r="D74" s="165"/>
      <c r="E74" s="2517" t="s">
        <v>203</v>
      </c>
      <c r="F74" s="154"/>
      <c r="G74" s="2511"/>
      <c r="H74" s="2646"/>
      <c r="I74" s="4297"/>
      <c r="J74" s="4297"/>
      <c r="K74" s="4298"/>
      <c r="L74" s="4297"/>
      <c r="M74" s="4297"/>
      <c r="N74" s="4299"/>
      <c r="O74" s="164" t="s">
        <v>204</v>
      </c>
      <c r="P74" s="166"/>
      <c r="Q74" s="2705"/>
      <c r="R74" s="4300"/>
      <c r="S74" s="4301"/>
      <c r="T74" s="2511"/>
      <c r="U74" s="2511"/>
      <c r="V74" s="2511"/>
      <c r="W74" s="2511"/>
      <c r="X74" s="2511"/>
      <c r="Y74" s="2511"/>
      <c r="Z74" s="1281">
        <v>74</v>
      </c>
    </row>
    <row r="75" spans="1:26" s="95" customFormat="1" ht="11.25" customHeight="1">
      <c r="A75" s="2511"/>
      <c r="B75" s="2511"/>
      <c r="C75" s="2511"/>
      <c r="D75" s="165"/>
      <c r="E75" s="2517" t="s">
        <v>58</v>
      </c>
      <c r="F75" s="2511"/>
      <c r="G75" s="2511"/>
      <c r="H75" s="2646"/>
      <c r="I75" s="4298"/>
      <c r="J75" s="4302"/>
      <c r="K75" s="167" t="s">
        <v>218</v>
      </c>
      <c r="L75" s="2646"/>
      <c r="M75" s="4297"/>
      <c r="N75" s="4302"/>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206</v>
      </c>
      <c r="F76" s="2511"/>
      <c r="G76" s="2511"/>
      <c r="H76" s="753"/>
      <c r="I76" s="166"/>
      <c r="J76" s="166"/>
      <c r="K76" s="512" t="s">
        <v>207</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209</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5" customHeight="1">
      <c r="A79" s="134" t="s">
        <v>32</v>
      </c>
      <c r="B79" s="134" t="s">
        <v>236</v>
      </c>
      <c r="C79" s="2517"/>
      <c r="D79" s="134"/>
      <c r="E79" s="2517"/>
      <c r="F79" s="134"/>
      <c r="G79" s="134"/>
      <c r="H79" s="169"/>
      <c r="I79" s="169"/>
      <c r="J79" s="169"/>
      <c r="K79" s="939" t="s">
        <v>198</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199</v>
      </c>
      <c r="C81" s="151" t="s">
        <v>237</v>
      </c>
      <c r="D81" s="2511"/>
      <c r="E81" s="2511"/>
      <c r="F81" s="2511"/>
      <c r="G81" s="2511"/>
      <c r="H81" s="2673"/>
      <c r="I81" s="4295"/>
      <c r="J81" s="4295"/>
      <c r="K81" s="4295"/>
      <c r="L81" s="4295"/>
      <c r="M81" s="4295"/>
      <c r="N81" s="4296"/>
      <c r="O81" s="164" t="s">
        <v>202</v>
      </c>
      <c r="P81" s="164"/>
      <c r="Q81" s="2673"/>
      <c r="R81" s="4295"/>
      <c r="S81" s="4296"/>
      <c r="T81" s="2511"/>
      <c r="U81" s="2511"/>
      <c r="V81" s="2511"/>
      <c r="W81" s="2511"/>
      <c r="X81" s="2511"/>
      <c r="Y81" s="2511"/>
      <c r="Z81" s="1281">
        <v>81</v>
      </c>
    </row>
    <row r="82" spans="2:26" s="95" customFormat="1" ht="11.25" customHeight="1">
      <c r="B82" s="2511"/>
      <c r="C82" s="2511"/>
      <c r="D82" s="165"/>
      <c r="E82" s="2517" t="s">
        <v>203</v>
      </c>
      <c r="F82" s="154"/>
      <c r="G82" s="2511"/>
      <c r="H82" s="2646"/>
      <c r="I82" s="4297"/>
      <c r="J82" s="4297"/>
      <c r="K82" s="4298"/>
      <c r="L82" s="4297"/>
      <c r="M82" s="4297"/>
      <c r="N82" s="4299"/>
      <c r="O82" s="164" t="s">
        <v>204</v>
      </c>
      <c r="P82" s="166"/>
      <c r="Q82" s="2705"/>
      <c r="R82" s="4300"/>
      <c r="S82" s="4301"/>
      <c r="T82" s="2511"/>
      <c r="U82" s="2511"/>
      <c r="V82" s="2511"/>
      <c r="W82" s="2511"/>
      <c r="X82" s="2511"/>
      <c r="Y82" s="2511"/>
      <c r="Z82" s="1281">
        <v>82</v>
      </c>
    </row>
    <row r="83" spans="2:26" s="95" customFormat="1" ht="11.25" customHeight="1">
      <c r="B83" s="2511"/>
      <c r="C83" s="2511"/>
      <c r="D83" s="165"/>
      <c r="E83" s="2517" t="s">
        <v>58</v>
      </c>
      <c r="F83" s="2511"/>
      <c r="G83" s="2511"/>
      <c r="H83" s="2646"/>
      <c r="I83" s="4298"/>
      <c r="J83" s="4302"/>
      <c r="K83" s="167" t="s">
        <v>218</v>
      </c>
      <c r="L83" s="2646"/>
      <c r="M83" s="4297"/>
      <c r="N83" s="4302"/>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206</v>
      </c>
      <c r="F84" s="2511"/>
      <c r="G84" s="2511"/>
      <c r="H84" s="753"/>
      <c r="I84" s="166"/>
      <c r="J84" s="166"/>
      <c r="K84" s="512" t="s">
        <v>207</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209</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75" customHeight="1">
      <c r="H86" s="4304"/>
      <c r="I86" s="4304"/>
      <c r="J86" s="4304"/>
      <c r="K86" s="167"/>
      <c r="L86" s="4304"/>
      <c r="M86" s="4304"/>
      <c r="N86" s="173"/>
      <c r="O86" s="174"/>
      <c r="P86" s="174"/>
      <c r="Q86" s="167"/>
      <c r="R86" s="174"/>
      <c r="S86" s="174"/>
      <c r="Z86" s="1281">
        <v>86</v>
      </c>
    </row>
    <row r="87" spans="2:26" s="95" customFormat="1" ht="11.25" customHeight="1">
      <c r="B87" s="151" t="s">
        <v>211</v>
      </c>
      <c r="C87" s="151" t="s">
        <v>238</v>
      </c>
      <c r="D87" s="2511"/>
      <c r="E87" s="2511"/>
      <c r="F87" s="2511"/>
      <c r="G87" s="2511"/>
      <c r="H87" s="2673"/>
      <c r="I87" s="4295"/>
      <c r="J87" s="4295"/>
      <c r="K87" s="4295"/>
      <c r="L87" s="4295"/>
      <c r="M87" s="4295"/>
      <c r="N87" s="4296"/>
      <c r="O87" s="164" t="s">
        <v>202</v>
      </c>
      <c r="P87" s="164"/>
      <c r="Q87" s="2673"/>
      <c r="R87" s="4295"/>
      <c r="S87" s="4296"/>
      <c r="T87" s="2511"/>
      <c r="U87" s="2511"/>
      <c r="V87" s="2511"/>
      <c r="W87" s="2511"/>
      <c r="X87" s="2511"/>
      <c r="Y87" s="2511"/>
      <c r="Z87" s="1281">
        <v>87</v>
      </c>
    </row>
    <row r="88" spans="2:26" s="95" customFormat="1" ht="11.25" customHeight="1">
      <c r="B88" s="2511"/>
      <c r="C88" s="2511"/>
      <c r="D88" s="165"/>
      <c r="E88" s="2517" t="s">
        <v>203</v>
      </c>
      <c r="F88" s="154"/>
      <c r="G88" s="2511"/>
      <c r="H88" s="2646"/>
      <c r="I88" s="4297"/>
      <c r="J88" s="4297"/>
      <c r="K88" s="4298"/>
      <c r="L88" s="4297"/>
      <c r="M88" s="4297"/>
      <c r="N88" s="4299"/>
      <c r="O88" s="164" t="s">
        <v>204</v>
      </c>
      <c r="P88" s="166"/>
      <c r="Q88" s="2705"/>
      <c r="R88" s="4300"/>
      <c r="S88" s="4301"/>
      <c r="T88" s="2511"/>
      <c r="U88" s="2511"/>
      <c r="V88" s="2511"/>
      <c r="W88" s="2511"/>
      <c r="X88" s="2511"/>
      <c r="Y88" s="2511"/>
      <c r="Z88" s="1281">
        <v>88</v>
      </c>
    </row>
    <row r="89" spans="2:26" s="95" customFormat="1" ht="11.25" customHeight="1">
      <c r="B89" s="2511"/>
      <c r="C89" s="2511"/>
      <c r="D89" s="165"/>
      <c r="E89" s="2517" t="s">
        <v>58</v>
      </c>
      <c r="F89" s="2511"/>
      <c r="G89" s="2511"/>
      <c r="H89" s="2646"/>
      <c r="I89" s="4298"/>
      <c r="J89" s="4302"/>
      <c r="K89" s="167" t="s">
        <v>218</v>
      </c>
      <c r="L89" s="2646"/>
      <c r="M89" s="4297"/>
      <c r="N89" s="4302"/>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206</v>
      </c>
      <c r="F90" s="2511"/>
      <c r="G90" s="2511"/>
      <c r="H90" s="753"/>
      <c r="I90" s="166"/>
      <c r="J90" s="166"/>
      <c r="K90" s="512" t="s">
        <v>207</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209</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75" customHeight="1">
      <c r="H92" s="4304"/>
      <c r="I92" s="4304"/>
      <c r="J92" s="4304"/>
      <c r="K92" s="167"/>
      <c r="L92" s="4304"/>
      <c r="M92" s="4304"/>
      <c r="N92" s="173"/>
      <c r="O92" s="174"/>
      <c r="P92" s="174"/>
      <c r="Q92" s="167"/>
      <c r="R92" s="174"/>
      <c r="S92" s="174"/>
      <c r="Z92" s="1281">
        <v>92</v>
      </c>
    </row>
    <row r="93" spans="2:26" s="95" customFormat="1" ht="11.25" customHeight="1">
      <c r="B93" s="151" t="s">
        <v>232</v>
      </c>
      <c r="C93" s="151" t="s">
        <v>239</v>
      </c>
      <c r="D93" s="2511"/>
      <c r="E93" s="2511"/>
      <c r="F93" s="96"/>
      <c r="G93" s="2511"/>
      <c r="H93" s="2673"/>
      <c r="I93" s="4295"/>
      <c r="J93" s="4295"/>
      <c r="K93" s="4295"/>
      <c r="L93" s="4295"/>
      <c r="M93" s="4295"/>
      <c r="N93" s="4296"/>
      <c r="O93" s="164" t="s">
        <v>202</v>
      </c>
      <c r="P93" s="164"/>
      <c r="Q93" s="2673"/>
      <c r="R93" s="4295"/>
      <c r="S93" s="4296"/>
      <c r="T93" s="2511"/>
      <c r="U93" s="2511"/>
      <c r="V93" s="2511"/>
      <c r="W93" s="2511"/>
      <c r="X93" s="2511"/>
      <c r="Y93" s="2511"/>
      <c r="Z93" s="1281">
        <v>93</v>
      </c>
    </row>
    <row r="94" spans="2:26" s="95" customFormat="1" ht="11.25" customHeight="1">
      <c r="B94" s="2511"/>
      <c r="C94" s="2511"/>
      <c r="D94" s="165"/>
      <c r="E94" s="2517" t="s">
        <v>203</v>
      </c>
      <c r="F94" s="154"/>
      <c r="G94" s="2511"/>
      <c r="H94" s="2646"/>
      <c r="I94" s="4297"/>
      <c r="J94" s="4297"/>
      <c r="K94" s="4298"/>
      <c r="L94" s="4297"/>
      <c r="M94" s="4297"/>
      <c r="N94" s="4299"/>
      <c r="O94" s="164" t="s">
        <v>204</v>
      </c>
      <c r="P94" s="166"/>
      <c r="Q94" s="2705"/>
      <c r="R94" s="4300"/>
      <c r="S94" s="4301"/>
      <c r="T94" s="2511"/>
      <c r="U94" s="2511"/>
      <c r="V94" s="2511"/>
      <c r="W94" s="2511"/>
      <c r="X94" s="2511"/>
      <c r="Y94" s="2511"/>
      <c r="Z94" s="1281">
        <v>94</v>
      </c>
    </row>
    <row r="95" spans="2:26" s="95" customFormat="1" ht="11.25" customHeight="1">
      <c r="B95" s="2511"/>
      <c r="C95" s="2511"/>
      <c r="D95" s="165"/>
      <c r="E95" s="2517" t="s">
        <v>58</v>
      </c>
      <c r="F95" s="2511"/>
      <c r="G95" s="2511"/>
      <c r="H95" s="2646"/>
      <c r="I95" s="4298"/>
      <c r="J95" s="4302"/>
      <c r="K95" s="167" t="s">
        <v>218</v>
      </c>
      <c r="L95" s="2646"/>
      <c r="M95" s="4297"/>
      <c r="N95" s="4302"/>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206</v>
      </c>
      <c r="F96" s="2511"/>
      <c r="G96" s="2511"/>
      <c r="H96" s="753"/>
      <c r="I96" s="166"/>
      <c r="J96" s="166"/>
      <c r="K96" s="512" t="s">
        <v>207</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209</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75" customHeight="1">
      <c r="H98" s="4304"/>
      <c r="I98" s="4304"/>
      <c r="J98" s="4304"/>
      <c r="K98" s="167"/>
      <c r="L98" s="4304"/>
      <c r="M98" s="4304"/>
      <c r="N98" s="173"/>
      <c r="O98" s="174"/>
      <c r="P98" s="174"/>
      <c r="Q98" s="167"/>
      <c r="R98" s="174"/>
      <c r="S98" s="174"/>
      <c r="Z98" s="1281">
        <v>98</v>
      </c>
    </row>
    <row r="99" spans="2:26" s="95" customFormat="1" ht="11.25" customHeight="1">
      <c r="B99" s="151" t="s">
        <v>234</v>
      </c>
      <c r="C99" s="151" t="s">
        <v>240</v>
      </c>
      <c r="D99" s="2511"/>
      <c r="E99" s="2511"/>
      <c r="F99" s="2511"/>
      <c r="G99" s="2511"/>
      <c r="H99" s="2673"/>
      <c r="I99" s="4295"/>
      <c r="J99" s="4295"/>
      <c r="K99" s="4295"/>
      <c r="L99" s="4295"/>
      <c r="M99" s="4295"/>
      <c r="N99" s="4296"/>
      <c r="O99" s="164" t="s">
        <v>202</v>
      </c>
      <c r="P99" s="164"/>
      <c r="Q99" s="2673"/>
      <c r="R99" s="4295"/>
      <c r="S99" s="4296"/>
      <c r="T99" s="2511"/>
      <c r="U99" s="2511"/>
      <c r="V99" s="2511"/>
      <c r="W99" s="2511"/>
      <c r="X99" s="2511"/>
      <c r="Y99" s="2511"/>
      <c r="Z99" s="1281">
        <v>99</v>
      </c>
    </row>
    <row r="100" spans="2:26" s="95" customFormat="1" ht="11.25" customHeight="1">
      <c r="B100" s="2511"/>
      <c r="C100" s="2511"/>
      <c r="D100" s="165"/>
      <c r="E100" s="2517" t="s">
        <v>203</v>
      </c>
      <c r="F100" s="154"/>
      <c r="G100" s="2511"/>
      <c r="H100" s="2646"/>
      <c r="I100" s="4297"/>
      <c r="J100" s="4297"/>
      <c r="K100" s="4298"/>
      <c r="L100" s="4297"/>
      <c r="M100" s="4297"/>
      <c r="N100" s="4299"/>
      <c r="O100" s="164" t="s">
        <v>204</v>
      </c>
      <c r="P100" s="166"/>
      <c r="Q100" s="2705"/>
      <c r="R100" s="4300"/>
      <c r="S100" s="4301"/>
      <c r="T100" s="2511"/>
      <c r="U100" s="2511"/>
      <c r="V100" s="2511"/>
      <c r="W100" s="2511"/>
      <c r="X100" s="2511"/>
      <c r="Y100" s="2511"/>
      <c r="Z100" s="1281">
        <v>100</v>
      </c>
    </row>
    <row r="101" spans="2:26" s="95" customFormat="1" ht="11.25" customHeight="1">
      <c r="B101" s="2511"/>
      <c r="C101" s="2511"/>
      <c r="D101" s="165"/>
      <c r="E101" s="2517" t="s">
        <v>58</v>
      </c>
      <c r="F101" s="2511"/>
      <c r="G101" s="2511"/>
      <c r="H101" s="2646"/>
      <c r="I101" s="4298"/>
      <c r="J101" s="4302"/>
      <c r="K101" s="167" t="s">
        <v>218</v>
      </c>
      <c r="L101" s="2646"/>
      <c r="M101" s="4297"/>
      <c r="N101" s="4302"/>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206</v>
      </c>
      <c r="F102" s="2511"/>
      <c r="G102" s="2511"/>
      <c r="H102" s="753"/>
      <c r="I102" s="166"/>
      <c r="J102" s="166"/>
      <c r="K102" s="512" t="s">
        <v>207</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209</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4"/>
      <c r="I104" s="4304"/>
      <c r="J104" s="4304"/>
      <c r="K104" s="167"/>
      <c r="L104" s="4304"/>
      <c r="M104" s="4304"/>
      <c r="N104" s="173"/>
      <c r="O104" s="174"/>
      <c r="P104" s="174"/>
      <c r="Q104" s="167"/>
      <c r="R104" s="174"/>
      <c r="S104" s="174"/>
      <c r="Z104" s="1281">
        <v>104</v>
      </c>
    </row>
    <row r="105" spans="2:26" s="95" customFormat="1" ht="11.25" customHeight="1">
      <c r="B105" s="151" t="s">
        <v>241</v>
      </c>
      <c r="C105" s="151" t="s">
        <v>242</v>
      </c>
      <c r="D105" s="2511"/>
      <c r="E105" s="2511"/>
      <c r="F105" s="2511"/>
      <c r="G105" s="2511"/>
      <c r="H105" s="2673"/>
      <c r="I105" s="4295"/>
      <c r="J105" s="4295"/>
      <c r="K105" s="4295"/>
      <c r="L105" s="4295"/>
      <c r="M105" s="4295"/>
      <c r="N105" s="4296"/>
      <c r="O105" s="164" t="s">
        <v>202</v>
      </c>
      <c r="P105" s="164"/>
      <c r="Q105" s="2673"/>
      <c r="R105" s="4295"/>
      <c r="S105" s="4296"/>
      <c r="T105" s="2511"/>
      <c r="U105" s="2511"/>
      <c r="V105" s="2511"/>
      <c r="W105" s="2511"/>
      <c r="X105" s="2511"/>
      <c r="Y105" s="2511"/>
      <c r="Z105" s="1281">
        <v>105</v>
      </c>
    </row>
    <row r="106" spans="2:26" s="95" customFormat="1" ht="11.25" customHeight="1">
      <c r="B106" s="2511"/>
      <c r="C106" s="2511"/>
      <c r="D106" s="165"/>
      <c r="E106" s="2517" t="s">
        <v>203</v>
      </c>
      <c r="F106" s="154"/>
      <c r="G106" s="2511"/>
      <c r="H106" s="2646"/>
      <c r="I106" s="4297"/>
      <c r="J106" s="4297"/>
      <c r="K106" s="4298"/>
      <c r="L106" s="4297"/>
      <c r="M106" s="4297"/>
      <c r="N106" s="4299"/>
      <c r="O106" s="164" t="s">
        <v>204</v>
      </c>
      <c r="P106" s="166"/>
      <c r="Q106" s="2705"/>
      <c r="R106" s="4300"/>
      <c r="S106" s="4301"/>
      <c r="T106" s="2511"/>
      <c r="U106" s="2511"/>
      <c r="V106" s="2511"/>
      <c r="W106" s="2511"/>
      <c r="X106" s="2511"/>
      <c r="Y106" s="2511"/>
      <c r="Z106" s="1281">
        <v>106</v>
      </c>
    </row>
    <row r="107" spans="2:26" s="95" customFormat="1" ht="11.25" customHeight="1">
      <c r="B107" s="2511"/>
      <c r="C107" s="2511"/>
      <c r="D107" s="165"/>
      <c r="E107" s="2517" t="s">
        <v>58</v>
      </c>
      <c r="F107" s="2511"/>
      <c r="G107" s="2511"/>
      <c r="H107" s="2646"/>
      <c r="I107" s="4298"/>
      <c r="J107" s="4302"/>
      <c r="K107" s="167" t="s">
        <v>218</v>
      </c>
      <c r="L107" s="2646"/>
      <c r="M107" s="4297"/>
      <c r="N107" s="4302"/>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206</v>
      </c>
      <c r="F108" s="2511"/>
      <c r="G108" s="2511"/>
      <c r="H108" s="753"/>
      <c r="I108" s="166"/>
      <c r="J108" s="166"/>
      <c r="K108" s="512" t="s">
        <v>207</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209</v>
      </c>
      <c r="F109" s="2511"/>
      <c r="G109" s="2511"/>
      <c r="H109" s="2701"/>
      <c r="I109" s="2702"/>
      <c r="J109" s="537"/>
      <c r="K109" s="167" t="s">
        <v>44</v>
      </c>
      <c r="L109" s="2667"/>
      <c r="M109" s="2668"/>
      <c r="N109" s="2645"/>
      <c r="O109" s="2645"/>
      <c r="P109" s="2645"/>
      <c r="Q109" s="2668"/>
      <c r="R109" s="2668"/>
      <c r="S109" s="2704"/>
      <c r="Z109" s="1281">
        <v>109</v>
      </c>
    </row>
    <row r="110" spans="2:26" ht="6.75" customHeight="1">
      <c r="E110" s="2517"/>
      <c r="F110" s="2511"/>
      <c r="G110" s="2511"/>
      <c r="H110" s="4304"/>
      <c r="I110" s="4304"/>
      <c r="J110" s="4304"/>
      <c r="K110" s="167"/>
      <c r="L110" s="4304"/>
      <c r="M110" s="4304"/>
      <c r="N110" s="173"/>
      <c r="O110" s="174"/>
      <c r="P110" s="174"/>
      <c r="Q110" s="167"/>
      <c r="R110" s="174"/>
      <c r="S110" s="174"/>
      <c r="Z110" s="1281">
        <v>110</v>
      </c>
    </row>
    <row r="111" spans="2:26" s="95" customFormat="1" ht="11.25" customHeight="1">
      <c r="B111" s="151" t="s">
        <v>243</v>
      </c>
      <c r="C111" s="151" t="s">
        <v>244</v>
      </c>
      <c r="D111" s="2511"/>
      <c r="E111" s="2511"/>
      <c r="F111" s="2511"/>
      <c r="G111" s="2511"/>
      <c r="H111" s="2673"/>
      <c r="I111" s="4295"/>
      <c r="J111" s="4295"/>
      <c r="K111" s="4295"/>
      <c r="L111" s="4295"/>
      <c r="M111" s="4295"/>
      <c r="N111" s="4296"/>
      <c r="O111" s="164" t="s">
        <v>202</v>
      </c>
      <c r="P111" s="164"/>
      <c r="Q111" s="2673"/>
      <c r="R111" s="4295"/>
      <c r="S111" s="4296"/>
      <c r="T111" s="2511"/>
      <c r="U111" s="2511"/>
      <c r="V111" s="2511"/>
      <c r="W111" s="2511"/>
      <c r="X111" s="2511"/>
      <c r="Y111" s="2511"/>
      <c r="Z111" s="1281">
        <v>111</v>
      </c>
    </row>
    <row r="112" spans="2:26" s="95" customFormat="1" ht="11.25" customHeight="1">
      <c r="B112" s="2511"/>
      <c r="C112" s="2511"/>
      <c r="D112" s="165"/>
      <c r="E112" s="2517" t="s">
        <v>203</v>
      </c>
      <c r="F112" s="154"/>
      <c r="G112" s="2511"/>
      <c r="H112" s="2646"/>
      <c r="I112" s="4297"/>
      <c r="J112" s="4297"/>
      <c r="K112" s="4298"/>
      <c r="L112" s="4297"/>
      <c r="M112" s="4297"/>
      <c r="N112" s="4299"/>
      <c r="O112" s="164" t="s">
        <v>204</v>
      </c>
      <c r="P112" s="166"/>
      <c r="Q112" s="2705"/>
      <c r="R112" s="4300"/>
      <c r="S112" s="4301"/>
      <c r="T112" s="2511"/>
      <c r="U112" s="2511"/>
      <c r="V112" s="2511"/>
      <c r="W112" s="2511"/>
      <c r="X112" s="2511"/>
      <c r="Y112" s="2511"/>
      <c r="Z112" s="1281">
        <v>112</v>
      </c>
    </row>
    <row r="113" spans="1:26" s="95" customFormat="1" ht="11.25" customHeight="1">
      <c r="A113" s="2511"/>
      <c r="B113" s="2511"/>
      <c r="C113" s="2511"/>
      <c r="D113" s="165"/>
      <c r="E113" s="2517" t="s">
        <v>58</v>
      </c>
      <c r="F113" s="2511"/>
      <c r="G113" s="2511"/>
      <c r="H113" s="2646"/>
      <c r="I113" s="4298"/>
      <c r="J113" s="4302"/>
      <c r="K113" s="167" t="s">
        <v>218</v>
      </c>
      <c r="L113" s="2646"/>
      <c r="M113" s="4297"/>
      <c r="N113" s="4302"/>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206</v>
      </c>
      <c r="F114" s="2511"/>
      <c r="G114" s="2511"/>
      <c r="H114" s="753"/>
      <c r="I114" s="166"/>
      <c r="J114" s="166"/>
      <c r="K114" s="512" t="s">
        <v>207</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209</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52</v>
      </c>
      <c r="B117" s="151" t="s">
        <v>245</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199</v>
      </c>
      <c r="C118" s="151" t="s">
        <v>246</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214</v>
      </c>
      <c r="D120" s="151" t="s">
        <v>247</v>
      </c>
      <c r="E120" s="2511"/>
      <c r="F120" s="2511"/>
      <c r="G120" s="2511"/>
      <c r="H120" s="2673"/>
      <c r="I120" s="2674"/>
      <c r="J120" s="2675"/>
      <c r="K120" s="167" t="s">
        <v>37</v>
      </c>
      <c r="L120" s="2673"/>
      <c r="M120" s="4295"/>
      <c r="N120" s="4296"/>
      <c r="O120" s="164" t="s">
        <v>248</v>
      </c>
      <c r="P120" s="166"/>
      <c r="Q120" s="2712"/>
      <c r="R120" s="4305"/>
      <c r="S120" s="4306"/>
      <c r="T120" s="2511"/>
      <c r="U120" s="2511"/>
      <c r="V120" s="2511"/>
      <c r="W120" s="2511"/>
      <c r="X120" s="2511"/>
      <c r="Y120" s="2511"/>
      <c r="Z120" s="1281">
        <v>120</v>
      </c>
    </row>
    <row r="121" spans="1:26" s="95" customFormat="1" ht="11.25" customHeight="1">
      <c r="A121" s="2511"/>
      <c r="B121" s="2511"/>
      <c r="C121" s="151"/>
      <c r="D121" s="165"/>
      <c r="E121" s="2517" t="s">
        <v>249</v>
      </c>
      <c r="F121" s="154"/>
      <c r="G121" s="2511"/>
      <c r="H121" s="2713"/>
      <c r="I121" s="4307"/>
      <c r="J121" s="4308"/>
      <c r="K121" s="4309"/>
      <c r="L121" s="4307"/>
      <c r="M121" s="4307"/>
      <c r="N121" s="4310"/>
      <c r="O121" s="164" t="s">
        <v>58</v>
      </c>
      <c r="P121" s="166"/>
      <c r="Q121" s="2714"/>
      <c r="R121" s="4311"/>
      <c r="S121" s="4312"/>
      <c r="T121" s="2511"/>
      <c r="U121" s="2511"/>
      <c r="V121" s="2511"/>
      <c r="W121" s="2511"/>
      <c r="X121" s="2511"/>
      <c r="Y121" s="2511"/>
      <c r="Z121" s="1281">
        <v>121</v>
      </c>
    </row>
    <row r="122" spans="1:26" s="95" customFormat="1" ht="11.25" customHeight="1">
      <c r="A122" s="2511"/>
      <c r="B122" s="2511"/>
      <c r="C122" s="151"/>
      <c r="D122" s="165"/>
      <c r="E122" s="2517" t="s">
        <v>206</v>
      </c>
      <c r="F122" s="2511"/>
      <c r="G122" s="2511"/>
      <c r="H122" s="922"/>
      <c r="I122" s="512" t="s">
        <v>207</v>
      </c>
      <c r="J122" s="2715"/>
      <c r="K122" s="4302"/>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250</v>
      </c>
      <c r="E124" s="2511"/>
      <c r="F124" s="2511"/>
      <c r="G124" s="2511"/>
      <c r="H124" s="2673"/>
      <c r="I124" s="2674"/>
      <c r="J124" s="2675"/>
      <c r="K124" s="167" t="s">
        <v>37</v>
      </c>
      <c r="L124" s="2673"/>
      <c r="M124" s="4295"/>
      <c r="N124" s="4296"/>
      <c r="O124" s="164" t="s">
        <v>248</v>
      </c>
      <c r="P124" s="166"/>
      <c r="Q124" s="2712"/>
      <c r="R124" s="4305"/>
      <c r="S124" s="4306"/>
      <c r="T124" s="2511"/>
      <c r="U124" s="2511"/>
      <c r="V124" s="2511"/>
      <c r="W124" s="2511"/>
      <c r="X124" s="2511"/>
      <c r="Y124" s="2511"/>
      <c r="Z124" s="1281">
        <v>124</v>
      </c>
    </row>
    <row r="125" spans="1:26" s="95" customFormat="1" ht="11.25" hidden="1" customHeight="1">
      <c r="A125" s="2511"/>
      <c r="B125" s="2511"/>
      <c r="C125" s="151"/>
      <c r="D125" s="165"/>
      <c r="E125" s="2517" t="s">
        <v>249</v>
      </c>
      <c r="F125" s="154"/>
      <c r="G125" s="2511"/>
      <c r="H125" s="2713"/>
      <c r="I125" s="4307"/>
      <c r="J125" s="4308"/>
      <c r="K125" s="4309"/>
      <c r="L125" s="4307"/>
      <c r="M125" s="4307"/>
      <c r="N125" s="4310"/>
      <c r="O125" s="164" t="s">
        <v>58</v>
      </c>
      <c r="P125" s="166"/>
      <c r="Q125" s="2714"/>
      <c r="R125" s="4311"/>
      <c r="S125" s="4312"/>
      <c r="T125" s="2511"/>
      <c r="U125" s="2511"/>
      <c r="V125" s="2511"/>
      <c r="W125" s="2511"/>
      <c r="X125" s="2511"/>
      <c r="Y125" s="2511"/>
      <c r="Z125" s="1281">
        <v>125</v>
      </c>
    </row>
    <row r="126" spans="1:26" s="95" customFormat="1" ht="11.25" hidden="1" customHeight="1">
      <c r="A126" s="2511"/>
      <c r="B126" s="2511"/>
      <c r="C126" s="151"/>
      <c r="D126" s="165"/>
      <c r="E126" s="2517" t="s">
        <v>206</v>
      </c>
      <c r="F126" s="2511"/>
      <c r="G126" s="2511"/>
      <c r="H126" s="922"/>
      <c r="I126" s="512" t="s">
        <v>207</v>
      </c>
      <c r="J126" s="2715"/>
      <c r="K126" s="4302"/>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251</v>
      </c>
      <c r="E128" s="2511"/>
      <c r="F128" s="2511"/>
      <c r="G128" s="2511"/>
      <c r="H128" s="2673"/>
      <c r="I128" s="2674"/>
      <c r="J128" s="2675"/>
      <c r="K128" s="167" t="s">
        <v>37</v>
      </c>
      <c r="L128" s="2673"/>
      <c r="M128" s="4295"/>
      <c r="N128" s="4296"/>
      <c r="O128" s="164" t="s">
        <v>248</v>
      </c>
      <c r="P128" s="166"/>
      <c r="Q128" s="2712"/>
      <c r="R128" s="4305"/>
      <c r="S128" s="4306"/>
      <c r="T128" s="2511"/>
      <c r="U128" s="2511"/>
      <c r="V128" s="2511"/>
      <c r="W128" s="2511"/>
      <c r="X128" s="2511"/>
      <c r="Y128" s="2511"/>
      <c r="Z128" s="1281">
        <v>128</v>
      </c>
    </row>
    <row r="129" spans="3:26" s="95" customFormat="1" ht="11.25" hidden="1" customHeight="1">
      <c r="C129" s="151"/>
      <c r="D129" s="165"/>
      <c r="E129" s="2517" t="s">
        <v>249</v>
      </c>
      <c r="F129" s="154"/>
      <c r="G129" s="2511"/>
      <c r="H129" s="2713"/>
      <c r="I129" s="4307"/>
      <c r="J129" s="4308"/>
      <c r="K129" s="4309"/>
      <c r="L129" s="4307"/>
      <c r="M129" s="4307"/>
      <c r="N129" s="4310"/>
      <c r="O129" s="164" t="s">
        <v>58</v>
      </c>
      <c r="P129" s="166"/>
      <c r="Q129" s="2714"/>
      <c r="R129" s="4311"/>
      <c r="S129" s="4312"/>
      <c r="T129" s="2511"/>
      <c r="U129" s="2511"/>
      <c r="V129" s="2511"/>
      <c r="W129" s="2511"/>
      <c r="X129" s="2511"/>
      <c r="Y129" s="2511"/>
      <c r="Z129" s="1281">
        <v>129</v>
      </c>
    </row>
    <row r="130" spans="3:26" s="95" customFormat="1" ht="11.25" hidden="1" customHeight="1">
      <c r="C130" s="151"/>
      <c r="D130" s="165"/>
      <c r="E130" s="2517" t="s">
        <v>206</v>
      </c>
      <c r="F130" s="2511"/>
      <c r="G130" s="2511"/>
      <c r="H130" s="922"/>
      <c r="I130" s="512" t="s">
        <v>207</v>
      </c>
      <c r="J130" s="2715"/>
      <c r="K130" s="4302"/>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252</v>
      </c>
      <c r="E132" s="2511"/>
      <c r="F132" s="2511"/>
      <c r="G132" s="2511"/>
      <c r="H132" s="2673"/>
      <c r="I132" s="2674"/>
      <c r="J132" s="2675"/>
      <c r="K132" s="167" t="s">
        <v>37</v>
      </c>
      <c r="L132" s="2673"/>
      <c r="M132" s="4295"/>
      <c r="N132" s="4296"/>
      <c r="O132" s="164" t="s">
        <v>248</v>
      </c>
      <c r="P132" s="166"/>
      <c r="Q132" s="2712"/>
      <c r="R132" s="4305"/>
      <c r="S132" s="4306"/>
      <c r="T132" s="2511"/>
      <c r="U132" s="2511"/>
      <c r="V132" s="2511"/>
      <c r="W132" s="2511"/>
      <c r="X132" s="2511"/>
      <c r="Y132" s="2511"/>
      <c r="Z132" s="1281">
        <v>132</v>
      </c>
    </row>
    <row r="133" spans="3:26" s="95" customFormat="1" ht="11.25" hidden="1" customHeight="1">
      <c r="C133" s="151"/>
      <c r="D133" s="165"/>
      <c r="E133" s="2517" t="s">
        <v>249</v>
      </c>
      <c r="F133" s="154"/>
      <c r="G133" s="2511"/>
      <c r="H133" s="2713"/>
      <c r="I133" s="4307"/>
      <c r="J133" s="4308"/>
      <c r="K133" s="4309"/>
      <c r="L133" s="4307"/>
      <c r="M133" s="4307"/>
      <c r="N133" s="4310"/>
      <c r="O133" s="164" t="s">
        <v>58</v>
      </c>
      <c r="P133" s="166"/>
      <c r="Q133" s="2714"/>
      <c r="R133" s="4311"/>
      <c r="S133" s="4312"/>
      <c r="T133" s="2511"/>
      <c r="U133" s="2511"/>
      <c r="V133" s="2511"/>
      <c r="W133" s="2511"/>
      <c r="X133" s="2511"/>
      <c r="Y133" s="2511"/>
      <c r="Z133" s="1281">
        <v>133</v>
      </c>
    </row>
    <row r="134" spans="3:26" s="95" customFormat="1" ht="11.25" hidden="1" customHeight="1">
      <c r="C134" s="151"/>
      <c r="D134" s="165"/>
      <c r="E134" s="2517" t="s">
        <v>206</v>
      </c>
      <c r="F134" s="2511"/>
      <c r="G134" s="2511"/>
      <c r="H134" s="922"/>
      <c r="I134" s="512" t="s">
        <v>207</v>
      </c>
      <c r="J134" s="2715"/>
      <c r="K134" s="4302"/>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253</v>
      </c>
      <c r="E136" s="2511"/>
      <c r="F136" s="2511"/>
      <c r="G136" s="2511"/>
      <c r="H136" s="2673"/>
      <c r="I136" s="2674"/>
      <c r="J136" s="2675"/>
      <c r="K136" s="167" t="s">
        <v>37</v>
      </c>
      <c r="L136" s="2673"/>
      <c r="M136" s="4295"/>
      <c r="N136" s="4296"/>
      <c r="O136" s="164" t="s">
        <v>248</v>
      </c>
      <c r="P136" s="166"/>
      <c r="Q136" s="2712"/>
      <c r="R136" s="4305"/>
      <c r="S136" s="4306"/>
      <c r="T136" s="2511"/>
      <c r="U136" s="2511"/>
      <c r="V136" s="2511"/>
      <c r="W136" s="2511"/>
      <c r="X136" s="2511"/>
      <c r="Y136" s="2511"/>
      <c r="Z136" s="1281">
        <v>136</v>
      </c>
    </row>
    <row r="137" spans="3:26" s="95" customFormat="1" ht="11.25" hidden="1" customHeight="1">
      <c r="C137" s="151"/>
      <c r="D137" s="165"/>
      <c r="E137" s="2517" t="s">
        <v>249</v>
      </c>
      <c r="F137" s="154"/>
      <c r="G137" s="2511"/>
      <c r="H137" s="2713"/>
      <c r="I137" s="4307"/>
      <c r="J137" s="4308"/>
      <c r="K137" s="4309"/>
      <c r="L137" s="4307"/>
      <c r="M137" s="4307"/>
      <c r="N137" s="4310"/>
      <c r="O137" s="164" t="s">
        <v>58</v>
      </c>
      <c r="P137" s="166"/>
      <c r="Q137" s="2714"/>
      <c r="R137" s="4311"/>
      <c r="S137" s="4312"/>
      <c r="T137" s="2511"/>
      <c r="U137" s="2511"/>
      <c r="V137" s="2511"/>
      <c r="W137" s="2511"/>
      <c r="X137" s="2511"/>
      <c r="Y137" s="2511"/>
      <c r="Z137" s="1281">
        <v>137</v>
      </c>
    </row>
    <row r="138" spans="3:26" s="95" customFormat="1" ht="11.25" hidden="1" customHeight="1">
      <c r="C138" s="151"/>
      <c r="D138" s="165"/>
      <c r="E138" s="2517" t="s">
        <v>206</v>
      </c>
      <c r="F138" s="2511"/>
      <c r="G138" s="2511"/>
      <c r="H138" s="922"/>
      <c r="I138" s="512" t="s">
        <v>207</v>
      </c>
      <c r="J138" s="2715"/>
      <c r="K138" s="4302"/>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254</v>
      </c>
      <c r="E140" s="2511"/>
      <c r="F140" s="2511"/>
      <c r="G140" s="2511"/>
      <c r="H140" s="2673"/>
      <c r="I140" s="2674"/>
      <c r="J140" s="2675"/>
      <c r="K140" s="167" t="s">
        <v>37</v>
      </c>
      <c r="L140" s="2673"/>
      <c r="M140" s="4295"/>
      <c r="N140" s="4296"/>
      <c r="O140" s="164" t="s">
        <v>248</v>
      </c>
      <c r="P140" s="166"/>
      <c r="Q140" s="2712"/>
      <c r="R140" s="4305"/>
      <c r="S140" s="4306"/>
      <c r="T140" s="2511"/>
      <c r="U140" s="2511"/>
      <c r="V140" s="2511"/>
      <c r="W140" s="2511"/>
      <c r="X140" s="2511"/>
      <c r="Y140" s="2511"/>
      <c r="Z140" s="1281">
        <v>140</v>
      </c>
    </row>
    <row r="141" spans="3:26" s="95" customFormat="1" ht="11.25" hidden="1" customHeight="1">
      <c r="C141" s="151"/>
      <c r="D141" s="165"/>
      <c r="E141" s="2517" t="s">
        <v>249</v>
      </c>
      <c r="F141" s="154"/>
      <c r="G141" s="2511"/>
      <c r="H141" s="2713"/>
      <c r="I141" s="4307"/>
      <c r="J141" s="4308"/>
      <c r="K141" s="4309"/>
      <c r="L141" s="4307"/>
      <c r="M141" s="4307"/>
      <c r="N141" s="4310"/>
      <c r="O141" s="164" t="s">
        <v>58</v>
      </c>
      <c r="P141" s="166"/>
      <c r="Q141" s="2714"/>
      <c r="R141" s="4311"/>
      <c r="S141" s="4312"/>
      <c r="T141" s="2511"/>
      <c r="U141" s="2511"/>
      <c r="V141" s="2511"/>
      <c r="W141" s="2511"/>
      <c r="X141" s="2511"/>
      <c r="Y141" s="2511"/>
      <c r="Z141" s="1281">
        <v>141</v>
      </c>
    </row>
    <row r="142" spans="3:26" s="95" customFormat="1" ht="11.25" hidden="1" customHeight="1">
      <c r="C142" s="151"/>
      <c r="D142" s="165"/>
      <c r="E142" s="2517" t="s">
        <v>206</v>
      </c>
      <c r="F142" s="2511"/>
      <c r="G142" s="2511"/>
      <c r="H142" s="922"/>
      <c r="I142" s="512" t="s">
        <v>207</v>
      </c>
      <c r="J142" s="2715"/>
      <c r="K142" s="4302"/>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222</v>
      </c>
      <c r="D144" s="2511" t="s">
        <v>255</v>
      </c>
      <c r="E144" s="2511"/>
      <c r="F144" s="2511"/>
      <c r="G144" s="2511"/>
      <c r="H144" s="2673"/>
      <c r="I144" s="2674"/>
      <c r="J144" s="2675"/>
      <c r="K144" s="167" t="s">
        <v>37</v>
      </c>
      <c r="L144" s="2673"/>
      <c r="M144" s="4295"/>
      <c r="N144" s="4296"/>
      <c r="O144" s="164" t="s">
        <v>248</v>
      </c>
      <c r="P144" s="166"/>
      <c r="Q144" s="2712"/>
      <c r="R144" s="4305"/>
      <c r="S144" s="4306"/>
      <c r="T144" s="2511"/>
      <c r="U144" s="2511"/>
      <c r="V144" s="2511"/>
      <c r="W144" s="2511"/>
      <c r="X144" s="2511"/>
      <c r="Y144" s="2511"/>
      <c r="Z144" s="1281">
        <v>144</v>
      </c>
    </row>
    <row r="145" spans="1:26" s="95" customFormat="1" ht="11.25" customHeight="1">
      <c r="A145" s="2511"/>
      <c r="B145" s="2511"/>
      <c r="C145" s="151"/>
      <c r="D145" s="165"/>
      <c r="E145" s="2517" t="s">
        <v>249</v>
      </c>
      <c r="F145" s="154"/>
      <c r="G145" s="2511"/>
      <c r="H145" s="2713"/>
      <c r="I145" s="4307"/>
      <c r="J145" s="4308"/>
      <c r="K145" s="4309"/>
      <c r="L145" s="4307"/>
      <c r="M145" s="4307"/>
      <c r="N145" s="4310"/>
      <c r="O145" s="164" t="s">
        <v>58</v>
      </c>
      <c r="P145" s="166"/>
      <c r="Q145" s="2714"/>
      <c r="R145" s="4311"/>
      <c r="S145" s="4312"/>
      <c r="T145" s="2511"/>
      <c r="U145" s="2511"/>
      <c r="V145" s="2511"/>
      <c r="W145" s="2511"/>
      <c r="X145" s="2511"/>
      <c r="Y145" s="2511"/>
      <c r="Z145" s="1281">
        <v>145</v>
      </c>
    </row>
    <row r="146" spans="1:26" s="95" customFormat="1" ht="11.25" customHeight="1">
      <c r="A146" s="2511"/>
      <c r="B146" s="2511"/>
      <c r="C146" s="151"/>
      <c r="D146" s="165"/>
      <c r="E146" s="2517" t="s">
        <v>206</v>
      </c>
      <c r="F146" s="2511"/>
      <c r="G146" s="2511"/>
      <c r="H146" s="922"/>
      <c r="I146" s="512" t="s">
        <v>207</v>
      </c>
      <c r="J146" s="2715"/>
      <c r="K146" s="4302"/>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226</v>
      </c>
      <c r="D148" s="2511" t="s">
        <v>256</v>
      </c>
      <c r="E148" s="2511"/>
      <c r="F148" s="2511"/>
      <c r="G148" s="2511"/>
      <c r="H148" s="2673"/>
      <c r="I148" s="2674"/>
      <c r="J148" s="2675"/>
      <c r="K148" s="167" t="s">
        <v>37</v>
      </c>
      <c r="L148" s="2673"/>
      <c r="M148" s="4295"/>
      <c r="N148" s="4296"/>
      <c r="O148" s="164" t="s">
        <v>248</v>
      </c>
      <c r="P148" s="166"/>
      <c r="Q148" s="2712"/>
      <c r="R148" s="4305"/>
      <c r="S148" s="4306"/>
      <c r="T148" s="2511"/>
      <c r="U148" s="2511"/>
      <c r="V148" s="2511"/>
      <c r="W148" s="2511"/>
      <c r="X148" s="2511"/>
      <c r="Y148" s="2511"/>
      <c r="Z148" s="1281">
        <v>148</v>
      </c>
    </row>
    <row r="149" spans="1:26" s="95" customFormat="1" ht="11.25" customHeight="1">
      <c r="A149" s="2511"/>
      <c r="B149" s="2511"/>
      <c r="C149" s="2511"/>
      <c r="D149" s="165"/>
      <c r="E149" s="2517" t="s">
        <v>249</v>
      </c>
      <c r="F149" s="154"/>
      <c r="G149" s="2511"/>
      <c r="H149" s="2713"/>
      <c r="I149" s="4307"/>
      <c r="J149" s="4308"/>
      <c r="K149" s="4309"/>
      <c r="L149" s="4307"/>
      <c r="M149" s="4307"/>
      <c r="N149" s="4310"/>
      <c r="O149" s="164" t="s">
        <v>58</v>
      </c>
      <c r="P149" s="166"/>
      <c r="Q149" s="2714"/>
      <c r="R149" s="4311"/>
      <c r="S149" s="4312"/>
      <c r="T149" s="2511"/>
      <c r="U149" s="2511"/>
      <c r="V149" s="2511"/>
      <c r="W149" s="2511"/>
      <c r="X149" s="2511"/>
      <c r="Y149" s="2511"/>
      <c r="Z149" s="1281">
        <v>149</v>
      </c>
    </row>
    <row r="150" spans="1:26" s="95" customFormat="1" ht="11.25" customHeight="1">
      <c r="A150" s="2511"/>
      <c r="B150" s="2511"/>
      <c r="C150" s="2511"/>
      <c r="D150" s="165"/>
      <c r="E150" s="2517" t="s">
        <v>206</v>
      </c>
      <c r="F150" s="2511"/>
      <c r="G150" s="2511"/>
      <c r="H150" s="922"/>
      <c r="I150" s="512" t="s">
        <v>207</v>
      </c>
      <c r="J150" s="2715"/>
      <c r="K150" s="4302"/>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211</v>
      </c>
      <c r="C152" s="151" t="s">
        <v>257</v>
      </c>
      <c r="H152" s="347"/>
      <c r="I152" s="347"/>
      <c r="J152" s="347"/>
      <c r="K152" s="347"/>
      <c r="L152" s="347"/>
      <c r="M152" s="347"/>
      <c r="N152" s="347"/>
      <c r="O152" s="347"/>
      <c r="P152" s="347"/>
      <c r="Q152" s="347"/>
      <c r="R152" s="347"/>
      <c r="S152" s="347"/>
      <c r="Z152" s="1281">
        <v>152</v>
      </c>
    </row>
    <row r="153" spans="1:26" ht="14.1" thickBot="1">
      <c r="A153" s="2759" t="s">
        <v>258</v>
      </c>
      <c r="B153" s="2759"/>
      <c r="C153" s="2759"/>
      <c r="D153" s="2759"/>
      <c r="E153" s="2759"/>
      <c r="H153" s="924" t="s">
        <v>259</v>
      </c>
      <c r="I153" s="2753" t="s">
        <v>260</v>
      </c>
      <c r="J153" s="2754"/>
      <c r="K153" s="2754"/>
      <c r="L153" s="2754"/>
      <c r="M153" s="2754"/>
      <c r="N153" s="2754"/>
      <c r="O153" s="2754"/>
      <c r="P153" s="2754"/>
      <c r="Q153" s="2754"/>
      <c r="R153" s="2754"/>
      <c r="S153" s="2755"/>
      <c r="Z153" s="1281">
        <v>153</v>
      </c>
    </row>
    <row r="154" spans="1:26" s="95" customFormat="1" ht="15" customHeight="1" thickBot="1">
      <c r="A154" s="2511"/>
      <c r="B154" s="344" t="s">
        <v>214</v>
      </c>
      <c r="C154" s="161" t="s">
        <v>261</v>
      </c>
      <c r="D154" s="2511"/>
      <c r="E154" s="161"/>
      <c r="F154" s="2511"/>
      <c r="G154" s="2511"/>
      <c r="H154" s="893" t="s">
        <v>262</v>
      </c>
      <c r="I154" s="2697"/>
      <c r="J154" s="3729"/>
      <c r="K154" s="3729"/>
      <c r="L154" s="3729"/>
      <c r="M154" s="3729"/>
      <c r="N154" s="3729"/>
      <c r="O154" s="3729"/>
      <c r="P154" s="3729"/>
      <c r="Q154" s="3729"/>
      <c r="R154" s="3729"/>
      <c r="S154" s="3730"/>
      <c r="T154" s="2511"/>
      <c r="U154" s="2639" t="s">
        <v>263</v>
      </c>
      <c r="V154" s="2639"/>
      <c r="W154" s="2511"/>
      <c r="X154" s="2511"/>
      <c r="Y154" s="2511"/>
      <c r="Z154" s="1281">
        <v>154</v>
      </c>
    </row>
    <row r="155" spans="1:26" s="95" customFormat="1" ht="15" customHeight="1" thickBot="1">
      <c r="A155" s="2511"/>
      <c r="B155" s="344" t="s">
        <v>222</v>
      </c>
      <c r="C155" s="161" t="s">
        <v>264</v>
      </c>
      <c r="D155" s="2511"/>
      <c r="E155" s="161"/>
      <c r="F155" s="2511"/>
      <c r="G155" s="2511"/>
      <c r="H155" s="893" t="s">
        <v>262</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226</v>
      </c>
      <c r="C156" s="161" t="s">
        <v>265</v>
      </c>
      <c r="D156" s="2511"/>
      <c r="E156" s="161"/>
      <c r="F156" s="2511"/>
      <c r="G156" s="2511"/>
      <c r="H156" s="893" t="s">
        <v>262</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266</v>
      </c>
      <c r="C157" s="161" t="s">
        <v>267</v>
      </c>
      <c r="D157" s="2511"/>
      <c r="E157" s="161"/>
      <c r="F157" s="2511"/>
      <c r="G157" s="2511"/>
      <c r="H157" s="893" t="s">
        <v>262</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268</v>
      </c>
      <c r="C158" s="161" t="s">
        <v>269</v>
      </c>
      <c r="D158" s="2511"/>
      <c r="E158" s="161"/>
      <c r="F158" s="2511"/>
      <c r="G158" s="2511"/>
      <c r="H158" s="893" t="s">
        <v>262</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270</v>
      </c>
      <c r="C159" s="161" t="s">
        <v>271</v>
      </c>
      <c r="D159" s="2511"/>
      <c r="E159" s="161"/>
      <c r="F159" s="2511"/>
      <c r="G159" s="2511"/>
      <c r="H159" s="893" t="s">
        <v>262</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272</v>
      </c>
      <c r="C160" s="161" t="s">
        <v>273</v>
      </c>
      <c r="D160" s="2511"/>
      <c r="E160" s="161"/>
      <c r="F160" s="2511"/>
      <c r="G160" s="2511"/>
      <c r="H160" s="893" t="s">
        <v>262</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274</v>
      </c>
      <c r="C161" s="161" t="s">
        <v>275</v>
      </c>
      <c r="D161" s="2511"/>
      <c r="E161" s="161"/>
      <c r="F161" s="2511"/>
      <c r="G161" s="2511"/>
      <c r="H161" s="893" t="s">
        <v>262</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276</v>
      </c>
      <c r="C162" s="2756" t="s">
        <v>277</v>
      </c>
      <c r="D162" s="2757"/>
      <c r="E162" s="2757"/>
      <c r="F162" s="2757"/>
      <c r="G162" s="2758"/>
      <c r="H162" s="893" t="s">
        <v>262</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5" customHeight="1">
      <c r="A163" s="151" t="s">
        <v>52</v>
      </c>
      <c r="B163" s="151" t="s">
        <v>278</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5" customHeight="1">
      <c r="B165" s="151" t="s">
        <v>232</v>
      </c>
      <c r="C165" s="151" t="s">
        <v>279</v>
      </c>
      <c r="Z165" s="1281">
        <v>165</v>
      </c>
    </row>
    <row r="166" spans="1:26" s="95" customFormat="1" ht="12.75" customHeight="1">
      <c r="A166" s="2726" t="s">
        <v>280</v>
      </c>
      <c r="B166" s="4313"/>
      <c r="C166" s="4313"/>
      <c r="D166" s="4313"/>
      <c r="E166" s="2731" t="s">
        <v>281</v>
      </c>
      <c r="F166" s="4314"/>
      <c r="G166" s="4314"/>
      <c r="H166" s="4314"/>
      <c r="I166" s="4315"/>
      <c r="J166" s="2735" t="s">
        <v>282</v>
      </c>
      <c r="K166" s="2738" t="s">
        <v>283</v>
      </c>
      <c r="L166" s="2738" t="s">
        <v>284</v>
      </c>
      <c r="M166" s="2741" t="s">
        <v>285</v>
      </c>
      <c r="N166" s="4316"/>
      <c r="O166" s="4316"/>
      <c r="P166" s="4316"/>
      <c r="Q166" s="4316"/>
      <c r="R166" s="4316"/>
      <c r="S166" s="4317"/>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286</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259</v>
      </c>
      <c r="J170" s="2737"/>
      <c r="K170" s="2740"/>
      <c r="L170" s="2739"/>
      <c r="M170" s="895" t="s">
        <v>259</v>
      </c>
      <c r="N170" s="2751" t="s">
        <v>287</v>
      </c>
      <c r="O170" s="2751"/>
      <c r="P170" s="2751"/>
      <c r="Q170" s="2751"/>
      <c r="R170" s="2751"/>
      <c r="S170" s="2752"/>
      <c r="T170" s="2511"/>
      <c r="U170" s="2511"/>
      <c r="V170" s="2511"/>
      <c r="W170" s="2511"/>
      <c r="X170" s="2511"/>
      <c r="Y170" s="2511"/>
      <c r="Z170" s="1281">
        <v>170</v>
      </c>
    </row>
    <row r="171" spans="1:26" s="95" customFormat="1" ht="23.25" customHeight="1">
      <c r="A171" s="4318" t="s">
        <v>288</v>
      </c>
      <c r="B171" s="4319"/>
      <c r="C171" s="4319"/>
      <c r="D171" s="4320"/>
      <c r="E171" s="3728"/>
      <c r="F171" s="3729"/>
      <c r="G171" s="3729"/>
      <c r="H171" s="3729"/>
      <c r="I171" s="4321" t="s">
        <v>262</v>
      </c>
      <c r="J171" s="4322" t="s">
        <v>262</v>
      </c>
      <c r="K171" s="4322"/>
      <c r="L171" s="4323"/>
      <c r="M171" s="4324" t="s">
        <v>262</v>
      </c>
      <c r="N171" s="4325"/>
      <c r="O171" s="3729"/>
      <c r="P171" s="3729"/>
      <c r="Q171" s="3729"/>
      <c r="R171" s="3729"/>
      <c r="S171" s="3730"/>
      <c r="T171" s="2511"/>
      <c r="U171" s="2511"/>
      <c r="V171" s="2511"/>
      <c r="W171" s="2511"/>
      <c r="X171" s="2511"/>
      <c r="Y171" s="2511"/>
      <c r="Z171" s="1281">
        <v>171</v>
      </c>
    </row>
    <row r="172" spans="1:26" s="95" customFormat="1" ht="23.25" customHeight="1">
      <c r="A172" s="2721" t="s">
        <v>289</v>
      </c>
      <c r="B172" s="2722"/>
      <c r="C172" s="2722"/>
      <c r="D172" s="2723"/>
      <c r="E172" s="2724"/>
      <c r="F172" s="2695"/>
      <c r="G172" s="2695"/>
      <c r="H172" s="2695"/>
      <c r="I172" s="489" t="s">
        <v>262</v>
      </c>
      <c r="J172" s="345" t="s">
        <v>262</v>
      </c>
      <c r="K172" s="345"/>
      <c r="L172" s="491"/>
      <c r="M172" s="349" t="s">
        <v>262</v>
      </c>
      <c r="N172" s="2725"/>
      <c r="O172" s="2695"/>
      <c r="P172" s="2695"/>
      <c r="Q172" s="2695"/>
      <c r="R172" s="2695"/>
      <c r="S172" s="2696"/>
      <c r="T172" s="2511"/>
      <c r="U172" s="2639" t="s">
        <v>263</v>
      </c>
      <c r="V172" s="2639"/>
      <c r="W172" s="2511"/>
      <c r="X172" s="2511"/>
      <c r="Y172" s="2511"/>
      <c r="Z172" s="1281">
        <v>172</v>
      </c>
    </row>
    <row r="173" spans="1:26" s="95" customFormat="1" ht="23.25" customHeight="1">
      <c r="A173" s="2721" t="s">
        <v>290</v>
      </c>
      <c r="B173" s="2722"/>
      <c r="C173" s="2722"/>
      <c r="D173" s="2723"/>
      <c r="E173" s="2724"/>
      <c r="F173" s="2695"/>
      <c r="G173" s="2695"/>
      <c r="H173" s="2695"/>
      <c r="I173" s="489" t="s">
        <v>262</v>
      </c>
      <c r="J173" s="345" t="s">
        <v>262</v>
      </c>
      <c r="K173" s="345"/>
      <c r="L173" s="491"/>
      <c r="M173" s="349" t="s">
        <v>262</v>
      </c>
      <c r="N173" s="2725"/>
      <c r="O173" s="2695"/>
      <c r="P173" s="2695"/>
      <c r="Q173" s="2695"/>
      <c r="R173" s="2695"/>
      <c r="S173" s="2696"/>
      <c r="T173" s="2511"/>
      <c r="U173" s="2639"/>
      <c r="V173" s="2639"/>
      <c r="W173" s="2511"/>
      <c r="X173" s="2511"/>
      <c r="Y173" s="2511"/>
      <c r="Z173" s="1281">
        <v>173</v>
      </c>
    </row>
    <row r="174" spans="1:26" s="95" customFormat="1" ht="23.25" customHeight="1">
      <c r="A174" s="2721" t="s">
        <v>291</v>
      </c>
      <c r="B174" s="2722"/>
      <c r="C174" s="2722"/>
      <c r="D174" s="2723"/>
      <c r="E174" s="2724"/>
      <c r="F174" s="2695"/>
      <c r="G174" s="2695"/>
      <c r="H174" s="2695"/>
      <c r="I174" s="489" t="s">
        <v>262</v>
      </c>
      <c r="J174" s="345" t="s">
        <v>262</v>
      </c>
      <c r="K174" s="345"/>
      <c r="L174" s="491"/>
      <c r="M174" s="349" t="s">
        <v>262</v>
      </c>
      <c r="N174" s="2725"/>
      <c r="O174" s="2695"/>
      <c r="P174" s="2695"/>
      <c r="Q174" s="2695"/>
      <c r="R174" s="2695"/>
      <c r="S174" s="2696"/>
      <c r="T174" s="2511"/>
      <c r="U174" s="2639"/>
      <c r="V174" s="2639"/>
      <c r="W174" s="2511"/>
      <c r="X174" s="2511"/>
      <c r="Y174" s="2511"/>
      <c r="Z174" s="1281">
        <v>174</v>
      </c>
    </row>
    <row r="175" spans="1:26" s="95" customFormat="1" ht="23.25" customHeight="1">
      <c r="A175" s="2721" t="s">
        <v>292</v>
      </c>
      <c r="B175" s="2722"/>
      <c r="C175" s="2722"/>
      <c r="D175" s="2723"/>
      <c r="E175" s="2724"/>
      <c r="F175" s="2695"/>
      <c r="G175" s="2695"/>
      <c r="H175" s="2695"/>
      <c r="I175" s="489" t="s">
        <v>262</v>
      </c>
      <c r="J175" s="345" t="s">
        <v>262</v>
      </c>
      <c r="K175" s="345"/>
      <c r="L175" s="491"/>
      <c r="M175" s="349" t="s">
        <v>262</v>
      </c>
      <c r="N175" s="2725"/>
      <c r="O175" s="2695"/>
      <c r="P175" s="2695"/>
      <c r="Q175" s="2695"/>
      <c r="R175" s="2695"/>
      <c r="S175" s="2696"/>
      <c r="T175" s="2511"/>
      <c r="U175" s="2639"/>
      <c r="V175" s="2639"/>
      <c r="W175" s="2511"/>
      <c r="X175" s="2511"/>
      <c r="Y175" s="2511"/>
      <c r="Z175" s="1281">
        <v>175</v>
      </c>
    </row>
    <row r="176" spans="1:26" s="95" customFormat="1" ht="23.25" customHeight="1">
      <c r="A176" s="2721" t="s">
        <v>293</v>
      </c>
      <c r="B176" s="2722"/>
      <c r="C176" s="2722"/>
      <c r="D176" s="2723"/>
      <c r="E176" s="2724"/>
      <c r="F176" s="2695"/>
      <c r="G176" s="2695"/>
      <c r="H176" s="2695"/>
      <c r="I176" s="489" t="s">
        <v>262</v>
      </c>
      <c r="J176" s="345" t="s">
        <v>262</v>
      </c>
      <c r="K176" s="345"/>
      <c r="L176" s="491"/>
      <c r="M176" s="349" t="s">
        <v>262</v>
      </c>
      <c r="N176" s="2725"/>
      <c r="O176" s="2695"/>
      <c r="P176" s="2695"/>
      <c r="Q176" s="2695"/>
      <c r="R176" s="2695"/>
      <c r="S176" s="2696"/>
      <c r="T176" s="2511"/>
      <c r="U176" s="2639"/>
      <c r="V176" s="2639"/>
      <c r="W176" s="2511"/>
      <c r="X176" s="2511"/>
      <c r="Y176" s="2511"/>
      <c r="Z176" s="1281">
        <v>176</v>
      </c>
    </row>
    <row r="177" spans="1:26" s="95" customFormat="1" ht="23.25" customHeight="1">
      <c r="A177" s="2721" t="s">
        <v>294</v>
      </c>
      <c r="B177" s="2722"/>
      <c r="C177" s="2722"/>
      <c r="D177" s="2723"/>
      <c r="E177" s="2724"/>
      <c r="F177" s="2695"/>
      <c r="G177" s="2695"/>
      <c r="H177" s="2695"/>
      <c r="I177" s="489" t="s">
        <v>262</v>
      </c>
      <c r="J177" s="345" t="s">
        <v>262</v>
      </c>
      <c r="K177" s="345"/>
      <c r="L177" s="491"/>
      <c r="M177" s="349" t="s">
        <v>262</v>
      </c>
      <c r="N177" s="2725"/>
      <c r="O177" s="2695"/>
      <c r="P177" s="2695"/>
      <c r="Q177" s="2695"/>
      <c r="R177" s="2695"/>
      <c r="S177" s="2696"/>
      <c r="T177" s="2511"/>
      <c r="U177" s="2639"/>
      <c r="V177" s="2639"/>
      <c r="W177" s="2511"/>
      <c r="X177" s="2511"/>
      <c r="Y177" s="2511"/>
      <c r="Z177" s="1281">
        <v>177</v>
      </c>
    </row>
    <row r="178" spans="1:26" s="95" customFormat="1" ht="23.25" customHeight="1">
      <c r="A178" s="2721" t="s">
        <v>295</v>
      </c>
      <c r="B178" s="2722"/>
      <c r="C178" s="2722"/>
      <c r="D178" s="2723"/>
      <c r="E178" s="2724"/>
      <c r="F178" s="2695"/>
      <c r="G178" s="2695"/>
      <c r="H178" s="2695"/>
      <c r="I178" s="489" t="s">
        <v>262</v>
      </c>
      <c r="J178" s="345" t="s">
        <v>262</v>
      </c>
      <c r="K178" s="345"/>
      <c r="L178" s="491"/>
      <c r="M178" s="349" t="s">
        <v>262</v>
      </c>
      <c r="N178" s="2725"/>
      <c r="O178" s="2695"/>
      <c r="P178" s="2695"/>
      <c r="Q178" s="2695"/>
      <c r="R178" s="2695"/>
      <c r="S178" s="2696"/>
      <c r="T178" s="2511"/>
      <c r="U178" s="2511"/>
      <c r="V178" s="2511"/>
      <c r="W178" s="2511"/>
      <c r="X178" s="2511"/>
      <c r="Y178" s="2511"/>
      <c r="Z178" s="1281">
        <v>178</v>
      </c>
    </row>
    <row r="179" spans="1:26" s="95" customFormat="1" ht="23.25" customHeight="1">
      <c r="A179" s="2721" t="s">
        <v>296</v>
      </c>
      <c r="B179" s="2722"/>
      <c r="C179" s="2722"/>
      <c r="D179" s="2723"/>
      <c r="E179" s="2724"/>
      <c r="F179" s="2695"/>
      <c r="G179" s="2695"/>
      <c r="H179" s="2695"/>
      <c r="I179" s="489" t="s">
        <v>262</v>
      </c>
      <c r="J179" s="345" t="s">
        <v>262</v>
      </c>
      <c r="K179" s="345"/>
      <c r="L179" s="491"/>
      <c r="M179" s="349" t="s">
        <v>262</v>
      </c>
      <c r="N179" s="2725"/>
      <c r="O179" s="2695"/>
      <c r="P179" s="2695"/>
      <c r="Q179" s="2695"/>
      <c r="R179" s="2695"/>
      <c r="S179" s="2696"/>
      <c r="T179" s="2511"/>
      <c r="U179" s="2511"/>
      <c r="V179" s="2511"/>
      <c r="W179" s="2511"/>
      <c r="X179" s="2511"/>
      <c r="Y179" s="2511"/>
      <c r="Z179" s="1281">
        <v>179</v>
      </c>
    </row>
    <row r="180" spans="1:26" s="95" customFormat="1" ht="23.25" customHeight="1">
      <c r="A180" s="2721" t="s">
        <v>297</v>
      </c>
      <c r="B180" s="2722"/>
      <c r="C180" s="2722"/>
      <c r="D180" s="2723"/>
      <c r="E180" s="2724"/>
      <c r="F180" s="2695"/>
      <c r="G180" s="2695"/>
      <c r="H180" s="2695"/>
      <c r="I180" s="489" t="s">
        <v>262</v>
      </c>
      <c r="J180" s="345" t="s">
        <v>262</v>
      </c>
      <c r="K180" s="345"/>
      <c r="L180" s="491"/>
      <c r="M180" s="349" t="s">
        <v>262</v>
      </c>
      <c r="N180" s="2725"/>
      <c r="O180" s="2695"/>
      <c r="P180" s="2695"/>
      <c r="Q180" s="2695"/>
      <c r="R180" s="2695"/>
      <c r="S180" s="2696"/>
      <c r="T180" s="2511"/>
      <c r="U180" s="2511"/>
      <c r="V180" s="2511"/>
      <c r="W180" s="2511"/>
      <c r="X180" s="2511"/>
      <c r="Y180" s="2511"/>
      <c r="Z180" s="1281">
        <v>180</v>
      </c>
    </row>
    <row r="181" spans="1:26" s="95" customFormat="1" ht="23.25" customHeight="1">
      <c r="A181" s="2721" t="s">
        <v>298</v>
      </c>
      <c r="B181" s="2722"/>
      <c r="C181" s="2722"/>
      <c r="D181" s="2723"/>
      <c r="E181" s="2724"/>
      <c r="F181" s="2695"/>
      <c r="G181" s="2695"/>
      <c r="H181" s="2695"/>
      <c r="I181" s="489" t="s">
        <v>262</v>
      </c>
      <c r="J181" s="345" t="s">
        <v>262</v>
      </c>
      <c r="K181" s="345"/>
      <c r="L181" s="491"/>
      <c r="M181" s="349" t="s">
        <v>262</v>
      </c>
      <c r="N181" s="2725"/>
      <c r="O181" s="2695"/>
      <c r="P181" s="2695"/>
      <c r="Q181" s="2695"/>
      <c r="R181" s="2695"/>
      <c r="S181" s="2696"/>
      <c r="T181" s="2511"/>
      <c r="U181" s="2511"/>
      <c r="V181" s="2511"/>
      <c r="W181" s="2511"/>
      <c r="X181" s="2511"/>
      <c r="Y181" s="2511"/>
      <c r="Z181" s="1281">
        <v>181</v>
      </c>
    </row>
    <row r="182" spans="1:26" s="95" customFormat="1" ht="23.25" customHeight="1">
      <c r="A182" s="2721" t="s">
        <v>299</v>
      </c>
      <c r="B182" s="2722"/>
      <c r="C182" s="2722"/>
      <c r="D182" s="2723"/>
      <c r="E182" s="2724"/>
      <c r="F182" s="2695"/>
      <c r="G182" s="2695"/>
      <c r="H182" s="2695"/>
      <c r="I182" s="489" t="s">
        <v>262</v>
      </c>
      <c r="J182" s="345" t="s">
        <v>262</v>
      </c>
      <c r="K182" s="345"/>
      <c r="L182" s="491"/>
      <c r="M182" s="349" t="s">
        <v>262</v>
      </c>
      <c r="N182" s="2725"/>
      <c r="O182" s="2695"/>
      <c r="P182" s="2695"/>
      <c r="Q182" s="2695"/>
      <c r="R182" s="2695"/>
      <c r="S182" s="2696"/>
      <c r="T182" s="2511"/>
      <c r="U182" s="2511"/>
      <c r="V182" s="2511"/>
      <c r="W182" s="2511"/>
      <c r="X182" s="2511"/>
      <c r="Y182" s="2511"/>
      <c r="Z182" s="1281">
        <v>182</v>
      </c>
    </row>
    <row r="183" spans="1:26" s="95" customFormat="1" ht="23.25" customHeight="1">
      <c r="A183" s="2716" t="s">
        <v>300</v>
      </c>
      <c r="B183" s="2717"/>
      <c r="C183" s="2717"/>
      <c r="D183" s="2718"/>
      <c r="E183" s="2719"/>
      <c r="F183" s="2692"/>
      <c r="G183" s="2692"/>
      <c r="H183" s="2692"/>
      <c r="I183" s="490" t="s">
        <v>262</v>
      </c>
      <c r="J183" s="346" t="s">
        <v>262</v>
      </c>
      <c r="K183" s="346"/>
      <c r="L183" s="492"/>
      <c r="M183" s="350" t="s">
        <v>262</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301</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79</v>
      </c>
      <c r="B185" s="159"/>
      <c r="C185" s="159" t="s">
        <v>80</v>
      </c>
      <c r="N185" s="159" t="s">
        <v>79</v>
      </c>
      <c r="O185" s="159" t="s">
        <v>82</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302</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206</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303</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304</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305</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306</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307</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308</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309</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310</v>
      </c>
      <c r="Q199" s="2511"/>
      <c r="R199" s="2511"/>
      <c r="S199" s="2511"/>
      <c r="T199" s="2511"/>
      <c r="U199" s="2511"/>
      <c r="V199" s="2511"/>
      <c r="W199" s="2511"/>
      <c r="X199" s="2511"/>
      <c r="Y199" s="2511"/>
      <c r="Z199" s="1281"/>
    </row>
    <row r="200" spans="1:26" ht="12" customHeight="1">
      <c r="P200" s="178" t="s">
        <v>311</v>
      </c>
    </row>
    <row r="201" spans="1:26" ht="12" customHeight="1">
      <c r="A201" s="159"/>
      <c r="P201" s="178" t="s">
        <v>312</v>
      </c>
    </row>
    <row r="202" spans="1:26" ht="12" customHeight="1">
      <c r="P202" s="178" t="s">
        <v>313</v>
      </c>
    </row>
    <row r="203" spans="1:26" ht="12" customHeight="1">
      <c r="P203" s="178" t="s">
        <v>314</v>
      </c>
    </row>
    <row r="204" spans="1:26" ht="12" customHeight="1">
      <c r="P204" s="178" t="s">
        <v>315</v>
      </c>
    </row>
    <row r="205" spans="1:26" ht="12" customHeight="1">
      <c r="P205" s="178" t="s">
        <v>316</v>
      </c>
    </row>
    <row r="206" spans="1:26" ht="12" customHeight="1">
      <c r="P206" s="178" t="s">
        <v>317</v>
      </c>
    </row>
    <row r="207" spans="1:26" ht="12" customHeight="1">
      <c r="P207" s="178" t="s">
        <v>318</v>
      </c>
    </row>
    <row r="208" spans="1:26" ht="12" customHeight="1">
      <c r="P208" s="178" t="s">
        <v>319</v>
      </c>
    </row>
    <row r="209" spans="16:16" ht="12" customHeight="1">
      <c r="P209" s="178" t="s">
        <v>320</v>
      </c>
    </row>
    <row r="210" spans="16:16" ht="12" customHeight="1">
      <c r="P210" s="178" t="s">
        <v>321</v>
      </c>
    </row>
    <row r="211" spans="16:16" ht="12" customHeight="1">
      <c r="P211" s="178" t="s">
        <v>322</v>
      </c>
    </row>
    <row r="212" spans="16:16" ht="12" customHeight="1">
      <c r="P212" s="178" t="s">
        <v>323</v>
      </c>
    </row>
    <row r="213" spans="16:16" ht="12" customHeight="1">
      <c r="P213" s="178" t="s">
        <v>324</v>
      </c>
    </row>
    <row r="214" spans="16:16" ht="12" customHeight="1">
      <c r="P214" s="178" t="s">
        <v>325</v>
      </c>
    </row>
    <row r="215" spans="16:16" ht="12" customHeight="1">
      <c r="P215" s="178" t="s">
        <v>326</v>
      </c>
    </row>
    <row r="216" spans="16:16" ht="12" customHeight="1">
      <c r="P216" s="178" t="s">
        <v>327</v>
      </c>
    </row>
    <row r="217" spans="16:16" ht="12" customHeight="1">
      <c r="P217" s="178" t="s">
        <v>328</v>
      </c>
    </row>
    <row r="218" spans="16:16" ht="12" customHeight="1">
      <c r="P218" s="178" t="s">
        <v>329</v>
      </c>
    </row>
    <row r="219" spans="16:16" ht="12" customHeight="1">
      <c r="P219" s="178" t="s">
        <v>330</v>
      </c>
    </row>
    <row r="220" spans="16:16" ht="12" customHeight="1">
      <c r="P220" s="178" t="s">
        <v>331</v>
      </c>
    </row>
    <row r="221" spans="16:16" ht="12" customHeight="1">
      <c r="P221" s="178" t="s">
        <v>332</v>
      </c>
    </row>
    <row r="222" spans="16:16">
      <c r="P222" s="178" t="s">
        <v>333</v>
      </c>
    </row>
    <row r="223" spans="16:16" ht="12" customHeight="1">
      <c r="P223" s="178" t="s">
        <v>334</v>
      </c>
    </row>
    <row r="224" spans="16:16" ht="12" customHeight="1">
      <c r="P224" s="178" t="s">
        <v>335</v>
      </c>
    </row>
    <row r="225" spans="16:16" ht="12" customHeight="1">
      <c r="P225" s="178" t="s">
        <v>336</v>
      </c>
    </row>
    <row r="226" spans="16:16" ht="12" customHeight="1">
      <c r="P226" s="178" t="s">
        <v>337</v>
      </c>
    </row>
    <row r="227" spans="16:16" ht="12" customHeight="1">
      <c r="P227" s="178" t="s">
        <v>338</v>
      </c>
    </row>
    <row r="228" spans="16:16" ht="12" customHeight="1">
      <c r="P228" s="178" t="s">
        <v>339</v>
      </c>
    </row>
    <row r="229" spans="16:16" ht="12" customHeight="1">
      <c r="P229" s="178" t="s">
        <v>340</v>
      </c>
    </row>
    <row r="230" spans="16:16" ht="12" customHeight="1">
      <c r="P230" s="178" t="s">
        <v>341</v>
      </c>
    </row>
    <row r="231" spans="16:16" ht="12" customHeight="1">
      <c r="P231" s="178" t="s">
        <v>342</v>
      </c>
    </row>
    <row r="232" spans="16:16" ht="12" customHeight="1">
      <c r="P232" s="178" t="s">
        <v>343</v>
      </c>
    </row>
    <row r="233" spans="16:16" ht="12" customHeight="1">
      <c r="P233" s="178" t="s">
        <v>344</v>
      </c>
    </row>
    <row r="234" spans="16:16" ht="12" customHeight="1">
      <c r="P234" s="178" t="s">
        <v>345</v>
      </c>
    </row>
    <row r="235" spans="16:16" ht="12" customHeight="1">
      <c r="P235" s="178" t="s">
        <v>346</v>
      </c>
    </row>
    <row r="236" spans="16:16" ht="12" customHeight="1">
      <c r="P236" s="178" t="s">
        <v>347</v>
      </c>
    </row>
    <row r="237" spans="16:16" ht="12" customHeight="1">
      <c r="P237" s="178" t="s">
        <v>348</v>
      </c>
    </row>
    <row r="238" spans="16:16" ht="12" customHeight="1">
      <c r="P238" s="178" t="s">
        <v>349</v>
      </c>
    </row>
    <row r="239" spans="16:16" ht="12" customHeight="1">
      <c r="P239" s="178" t="s">
        <v>350</v>
      </c>
    </row>
    <row r="240" spans="16:16" ht="12" customHeight="1">
      <c r="P240" s="178" t="s">
        <v>351</v>
      </c>
    </row>
    <row r="241" spans="16:16" ht="12" customHeight="1">
      <c r="P241" s="178" t="s">
        <v>352</v>
      </c>
    </row>
    <row r="242" spans="16:16" ht="12" customHeight="1">
      <c r="P242" s="178" t="s">
        <v>353</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95"/>
  <cols>
    <col min="1" max="1" width="4.42578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42578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3458</v>
      </c>
      <c r="H1" s="460" t="str">
        <f>'Sensitivity Analysis'!C8</f>
        <v>Abbington Blue Ridge</v>
      </c>
    </row>
    <row r="2" spans="1:14">
      <c r="A2" s="411" t="s">
        <v>3459</v>
      </c>
      <c r="H2" s="314" t="str">
        <f>'Sensitivity Analysis'!E8</f>
        <v>2024-0</v>
      </c>
    </row>
    <row r="3" spans="1:14" ht="3" customHeight="1"/>
    <row r="4" spans="1:14" ht="69.75" customHeight="1">
      <c r="A4" s="4181" t="s">
        <v>3460</v>
      </c>
      <c r="B4" s="4181"/>
      <c r="C4" s="4181"/>
      <c r="D4" s="4181"/>
      <c r="E4" s="4181"/>
      <c r="F4" s="4181"/>
      <c r="G4" s="4181"/>
      <c r="H4" s="4181"/>
      <c r="I4" s="4181"/>
      <c r="J4" s="4181"/>
      <c r="K4" s="4181"/>
      <c r="L4" s="4218">
        <f>SUM('Part VI-Pro Forma'!B15:B17)/12</f>
        <v>45722.52</v>
      </c>
      <c r="M4" s="4218"/>
      <c r="N4" s="1098" t="s">
        <v>3461</v>
      </c>
    </row>
    <row r="5" spans="1:14" ht="1.5" customHeight="1"/>
    <row r="6" spans="1:14" ht="12.75" customHeight="1">
      <c r="B6" s="479" t="s">
        <v>2467</v>
      </c>
      <c r="C6" s="461" t="s">
        <v>3462</v>
      </c>
      <c r="D6" s="461"/>
      <c r="E6" s="461"/>
      <c r="F6" s="461"/>
      <c r="G6" s="461"/>
      <c r="H6" s="461"/>
    </row>
    <row r="7" spans="1:14" ht="12.75" customHeight="1">
      <c r="B7" s="479" t="s">
        <v>2469</v>
      </c>
      <c r="C7" s="4181" t="s">
        <v>3463</v>
      </c>
      <c r="D7" s="4181"/>
      <c r="E7" s="4181"/>
      <c r="F7" s="4181"/>
      <c r="G7" s="4181"/>
      <c r="H7" s="4181"/>
      <c r="I7" s="4181"/>
      <c r="J7" s="4181"/>
      <c r="K7" s="4181"/>
      <c r="L7" s="4181"/>
      <c r="M7" s="4181"/>
    </row>
    <row r="8" spans="1:14" ht="3" customHeight="1"/>
    <row r="9" spans="1:14">
      <c r="A9" s="314" t="s">
        <v>3464</v>
      </c>
    </row>
    <row r="10" spans="1:14" ht="1.5" customHeight="1"/>
    <row r="11" spans="1:14" ht="26.25" customHeight="1">
      <c r="A11" s="480" t="s">
        <v>199</v>
      </c>
      <c r="B11" s="4181" t="s">
        <v>3465</v>
      </c>
      <c r="C11" s="4181"/>
      <c r="D11" s="4181"/>
      <c r="E11" s="4181"/>
      <c r="F11" s="4181"/>
      <c r="G11" s="4181"/>
      <c r="H11" s="4181"/>
      <c r="I11" s="4181"/>
      <c r="J11" s="4181"/>
      <c r="K11" s="4181"/>
      <c r="L11" s="4182">
        <f>'Part II-Sources of Funds'!I51+'Part II-Sources of Funds'!I52</f>
        <v>15098182</v>
      </c>
      <c r="M11" s="4182"/>
    </row>
    <row r="12" spans="1:14" ht="1.5" customHeight="1">
      <c r="G12" s="461"/>
      <c r="H12" s="461"/>
    </row>
    <row r="13" spans="1:14" ht="26.1" customHeight="1">
      <c r="A13" s="480" t="s">
        <v>211</v>
      </c>
      <c r="B13" s="4181" t="s">
        <v>3466</v>
      </c>
      <c r="C13" s="4181"/>
      <c r="D13" s="4181"/>
      <c r="E13" s="4181"/>
      <c r="F13" s="4181"/>
      <c r="G13" s="4181"/>
      <c r="H13" s="4181"/>
      <c r="I13" s="4181"/>
      <c r="J13" s="4181"/>
      <c r="K13" s="4181"/>
      <c r="L13" s="4183" t="s">
        <v>1485</v>
      </c>
      <c r="M13" s="4183"/>
    </row>
    <row r="14" spans="1:14">
      <c r="A14" s="480"/>
      <c r="B14" s="4138"/>
      <c r="C14" s="4138"/>
      <c r="D14" s="4138"/>
      <c r="E14" s="4138"/>
      <c r="F14" s="4138"/>
      <c r="G14" s="4138"/>
      <c r="H14" s="4138"/>
    </row>
    <row r="15" spans="1:14" ht="3" customHeight="1"/>
    <row r="16" spans="1:14">
      <c r="A16" s="480" t="s">
        <v>232</v>
      </c>
      <c r="B16" s="314" t="s">
        <v>3467</v>
      </c>
      <c r="L16" s="4184" t="s">
        <v>57</v>
      </c>
      <c r="M16" s="4184"/>
    </row>
    <row r="17" spans="1:19" ht="1.5" customHeight="1">
      <c r="L17" s="464"/>
      <c r="S17" s="2627"/>
    </row>
    <row r="18" spans="1:19" ht="12" customHeight="1">
      <c r="A18" s="480" t="s">
        <v>234</v>
      </c>
      <c r="B18" s="461" t="s">
        <v>3468</v>
      </c>
      <c r="C18" s="480"/>
      <c r="D18" s="480"/>
      <c r="E18" s="480"/>
      <c r="L18" s="4138" t="s">
        <v>2174</v>
      </c>
      <c r="M18" s="4138"/>
      <c r="S18" s="2627"/>
    </row>
    <row r="19" spans="1:19" ht="12" hidden="1" customHeight="1">
      <c r="B19" s="4138"/>
      <c r="C19" s="4138"/>
      <c r="D19" s="4138"/>
      <c r="E19" s="4138"/>
      <c r="F19" s="4138"/>
      <c r="G19" s="4138"/>
      <c r="H19" s="4138"/>
      <c r="S19" s="2627"/>
    </row>
    <row r="20" spans="1:19" ht="13.5" customHeight="1">
      <c r="S20" s="2627"/>
    </row>
    <row r="21" spans="1:19" ht="12" customHeight="1">
      <c r="A21" s="411" t="s">
        <v>3253</v>
      </c>
      <c r="S21" s="2627"/>
    </row>
    <row r="22" spans="1:19" ht="3" customHeight="1">
      <c r="S22" s="2627"/>
    </row>
    <row r="23" spans="1:19" ht="42.75" customHeight="1">
      <c r="A23" s="4185" t="s">
        <v>3469</v>
      </c>
      <c r="B23" s="4185"/>
      <c r="C23" s="4185"/>
      <c r="D23" s="4185"/>
      <c r="E23" s="4185"/>
      <c r="F23" s="4185"/>
      <c r="G23" s="4185"/>
      <c r="H23" s="4185"/>
      <c r="I23" s="4185"/>
      <c r="J23" s="4185"/>
      <c r="K23" s="4185"/>
      <c r="L23" s="4185"/>
      <c r="M23" s="4185"/>
      <c r="S23" s="2627"/>
    </row>
    <row r="24" spans="1:19" ht="18" customHeight="1">
      <c r="E24" s="2623" t="s">
        <v>784</v>
      </c>
      <c r="F24" s="2623" t="s">
        <v>1197</v>
      </c>
      <c r="G24" s="2623" t="s">
        <v>1198</v>
      </c>
      <c r="H24" s="2623" t="s">
        <v>1199</v>
      </c>
      <c r="I24" s="2623" t="s">
        <v>1200</v>
      </c>
      <c r="J24" s="2623" t="s">
        <v>301</v>
      </c>
      <c r="K24" s="314"/>
      <c r="S24" s="314"/>
    </row>
    <row r="25" spans="1:19" ht="14.25" customHeight="1">
      <c r="C25" s="558" t="s">
        <v>1203</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1205</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1206</v>
      </c>
      <c r="D27" s="321"/>
      <c r="E27" s="1176">
        <f>'Part V-Revenues &amp; Expenses'!K58</f>
        <v>0</v>
      </c>
      <c r="F27" s="1177">
        <f>'Part V-Revenues &amp; Expenses'!L58</f>
        <v>18</v>
      </c>
      <c r="G27" s="1177">
        <f>'Part V-Revenues &amp; Expenses'!M58</f>
        <v>22</v>
      </c>
      <c r="H27" s="1177">
        <f>'Part V-Revenues &amp; Expenses'!N58</f>
        <v>2</v>
      </c>
      <c r="I27" s="1177">
        <f>'Part V-Revenues &amp; Expenses'!O58</f>
        <v>0</v>
      </c>
      <c r="J27" s="2062">
        <f>'Part V-Revenues &amp; Expenses'!P58</f>
        <v>42</v>
      </c>
      <c r="K27" s="314"/>
      <c r="S27" s="314"/>
    </row>
    <row r="28" spans="1:19" ht="15" customHeight="1">
      <c r="C28" s="558" t="s">
        <v>1207</v>
      </c>
      <c r="D28" s="321"/>
      <c r="E28" s="1176">
        <f>'Part V-Revenues &amp; Expenses'!K59</f>
        <v>0</v>
      </c>
      <c r="F28" s="1177">
        <f>'Part V-Revenues &amp; Expenses'!L59</f>
        <v>3</v>
      </c>
      <c r="G28" s="1177">
        <f>'Part V-Revenues &amp; Expenses'!M59</f>
        <v>7</v>
      </c>
      <c r="H28" s="1177">
        <f>'Part V-Revenues &amp; Expenses'!N59</f>
        <v>2</v>
      </c>
      <c r="I28" s="1177">
        <f>'Part V-Revenues &amp; Expenses'!O59</f>
        <v>0</v>
      </c>
      <c r="J28" s="2062">
        <f>'Part V-Revenues &amp; Expenses'!P59</f>
        <v>12</v>
      </c>
      <c r="K28" s="314"/>
      <c r="S28" s="314"/>
    </row>
    <row r="29" spans="1:19" ht="13.35" customHeight="1">
      <c r="C29" s="558" t="s">
        <v>1208</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35" customHeight="1">
      <c r="C30" s="558" t="s">
        <v>1209</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35" customHeight="1">
      <c r="C31" s="558" t="s">
        <v>1210</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35" customHeight="1">
      <c r="C32" s="321" t="s">
        <v>301</v>
      </c>
      <c r="D32" s="321"/>
      <c r="E32" s="2063">
        <f>'Part V-Revenues &amp; Expenses'!K63</f>
        <v>0</v>
      </c>
      <c r="F32" s="2064">
        <f>'Part V-Revenues &amp; Expenses'!L63</f>
        <v>21</v>
      </c>
      <c r="G32" s="2064">
        <f>'Part V-Revenues &amp; Expenses'!M63</f>
        <v>29</v>
      </c>
      <c r="H32" s="2064">
        <f>'Part V-Revenues &amp; Expenses'!N63</f>
        <v>4</v>
      </c>
      <c r="I32" s="2064">
        <f>'Part V-Revenues &amp; Expenses'!O63</f>
        <v>0</v>
      </c>
      <c r="J32" s="1178">
        <f>'Part V-Revenues &amp; Expenses'!P63</f>
        <v>54</v>
      </c>
      <c r="K32" s="314"/>
      <c r="S32" s="314"/>
    </row>
    <row r="33" spans="1:12" s="314" customFormat="1" ht="13.35" customHeight="1" thickBot="1">
      <c r="K33" s="1097"/>
    </row>
    <row r="34" spans="1:12" s="314" customFormat="1" ht="14.25" customHeight="1" thickBot="1">
      <c r="A34" s="1097"/>
      <c r="B34" s="4194" t="s">
        <v>3495</v>
      </c>
      <c r="E34" s="4195" t="s">
        <v>3496</v>
      </c>
      <c r="F34" s="4196"/>
      <c r="G34" s="4196"/>
      <c r="H34" s="4196"/>
      <c r="I34" s="4196"/>
      <c r="J34" s="4196"/>
      <c r="K34" s="4196"/>
      <c r="L34" s="4197"/>
    </row>
    <row r="35" spans="1:12" s="314" customFormat="1" ht="14.25" customHeight="1">
      <c r="A35" s="1097"/>
      <c r="B35" s="4194"/>
      <c r="C35" s="4198" t="s">
        <v>3497</v>
      </c>
      <c r="D35" s="4194" t="s">
        <v>3498</v>
      </c>
      <c r="E35" s="4199" t="s">
        <v>3499</v>
      </c>
      <c r="F35" s="4200"/>
      <c r="G35" s="4203" t="s">
        <v>340</v>
      </c>
      <c r="H35" s="4205" t="s">
        <v>3500</v>
      </c>
      <c r="I35" s="4206"/>
      <c r="J35" s="4206"/>
      <c r="K35" s="4206"/>
      <c r="L35" s="4207"/>
    </row>
    <row r="36" spans="1:12" s="314" customFormat="1" ht="23.25" customHeight="1">
      <c r="A36" s="4198" t="s">
        <v>1196</v>
      </c>
      <c r="B36" s="4194"/>
      <c r="C36" s="4198"/>
      <c r="D36" s="4194"/>
      <c r="E36" s="4201"/>
      <c r="F36" s="4202"/>
      <c r="G36" s="4204"/>
      <c r="H36" s="4208" t="s">
        <v>3501</v>
      </c>
      <c r="I36" s="4209"/>
      <c r="J36" s="4212" t="s">
        <v>340</v>
      </c>
      <c r="K36" s="4209" t="s">
        <v>3502</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35" customHeight="1">
      <c r="A39" s="4714">
        <f>'Part V-Revenues &amp; Expenses'!B18</f>
        <v>0</v>
      </c>
      <c r="B39" s="1166">
        <f>'Part V-Revenues &amp; Expenses'!E18</f>
        <v>0</v>
      </c>
      <c r="C39" s="1167" t="str">
        <f>_xlfn.CONCAT('Part V-Revenues &amp; Expenses'!C18," / ",'Part V-Revenues &amp; Expenses'!D18)</f>
        <v xml:space="preserve"> / </v>
      </c>
      <c r="D39" s="1166">
        <f>'Part V-Revenues &amp; Expenses'!F18</f>
        <v>0</v>
      </c>
      <c r="E39" s="4715">
        <f>'Part V-Revenues &amp; Expenses'!H18</f>
        <v>0</v>
      </c>
      <c r="F39" s="4716"/>
      <c r="G39" s="321"/>
      <c r="H39" s="4717"/>
      <c r="I39" s="4718"/>
      <c r="J39" s="4718"/>
      <c r="K39" s="4718"/>
      <c r="L39" s="4719"/>
    </row>
    <row r="40" spans="1:12" s="314" customFormat="1" ht="13.35" customHeight="1">
      <c r="A40" s="1168">
        <f>'Part V-Revenues &amp; Expenses'!B19</f>
        <v>50</v>
      </c>
      <c r="B40" s="1169">
        <f>'Part V-Revenues &amp; Expenses'!E19</f>
        <v>3</v>
      </c>
      <c r="C40" s="1170" t="str">
        <f>_xlfn.CONCAT('Part V-Revenues &amp; Expenses'!C19," / ",'Part V-Revenues &amp; Expenses'!D19)</f>
        <v>1 / 1</v>
      </c>
      <c r="D40" s="1169">
        <f>'Part V-Revenues &amp; Expenses'!F19</f>
        <v>713</v>
      </c>
      <c r="E40" s="4189">
        <f>'Part V-Revenues &amp; Expenses'!H19</f>
        <v>725</v>
      </c>
      <c r="F40" s="4190"/>
      <c r="G40" s="321"/>
      <c r="H40" s="4186"/>
      <c r="I40" s="4187"/>
      <c r="J40" s="4187"/>
      <c r="K40" s="4187"/>
      <c r="L40" s="4188"/>
    </row>
    <row r="41" spans="1:12" s="314" customFormat="1" ht="13.35" customHeight="1">
      <c r="A41" s="1168">
        <f>'Part V-Revenues &amp; Expenses'!B20</f>
        <v>60</v>
      </c>
      <c r="B41" s="1169">
        <f>'Part V-Revenues &amp; Expenses'!E20</f>
        <v>18</v>
      </c>
      <c r="C41" s="1170" t="str">
        <f>_xlfn.CONCAT('Part V-Revenues &amp; Expenses'!C20," / ",'Part V-Revenues &amp; Expenses'!D20)</f>
        <v>1 / 1</v>
      </c>
      <c r="D41" s="1169">
        <f>'Part V-Revenues &amp; Expenses'!F20</f>
        <v>713</v>
      </c>
      <c r="E41" s="4189">
        <f>'Part V-Revenues &amp; Expenses'!H20</f>
        <v>870</v>
      </c>
      <c r="F41" s="4190"/>
      <c r="G41" s="321"/>
      <c r="H41" s="4186"/>
      <c r="I41" s="4187"/>
      <c r="J41" s="4187"/>
      <c r="K41" s="4187"/>
      <c r="L41" s="4188"/>
    </row>
    <row r="42" spans="1:12" s="314" customFormat="1" ht="13.35" customHeight="1">
      <c r="A42" s="1168">
        <f>'Part V-Revenues &amp; Expenses'!B21</f>
        <v>0</v>
      </c>
      <c r="B42" s="1169">
        <f>'Part V-Revenues &amp; Expenses'!E21</f>
        <v>0</v>
      </c>
      <c r="C42" s="1170" t="str">
        <f>_xlfn.CONCAT('Part V-Revenues &amp; Expenses'!C21," / ",'Part V-Revenues &amp; Expenses'!D21)</f>
        <v xml:space="preserve"> / </v>
      </c>
      <c r="D42" s="1169">
        <f>'Part V-Revenues &amp; Expenses'!F21</f>
        <v>0</v>
      </c>
      <c r="E42" s="4189">
        <f>'Part V-Revenues &amp; Expenses'!H21</f>
        <v>0</v>
      </c>
      <c r="F42" s="4190"/>
      <c r="G42" s="321"/>
      <c r="H42" s="4186"/>
      <c r="I42" s="4187"/>
      <c r="J42" s="4187"/>
      <c r="K42" s="4187"/>
      <c r="L42" s="4188"/>
    </row>
    <row r="43" spans="1:12" s="314" customFormat="1" ht="13.35" customHeight="1">
      <c r="A43" s="1168">
        <f>'Part V-Revenues &amp; Expenses'!B22</f>
        <v>50</v>
      </c>
      <c r="B43" s="1169">
        <f>'Part V-Revenues &amp; Expenses'!E22</f>
        <v>7</v>
      </c>
      <c r="C43" s="1170" t="str">
        <f>_xlfn.CONCAT('Part V-Revenues &amp; Expenses'!C22," / ",'Part V-Revenues &amp; Expenses'!D22)</f>
        <v>2 / 2</v>
      </c>
      <c r="D43" s="1169">
        <f>'Part V-Revenues &amp; Expenses'!F22</f>
        <v>984</v>
      </c>
      <c r="E43" s="4189">
        <f>'Part V-Revenues &amp; Expenses'!H22</f>
        <v>871</v>
      </c>
      <c r="F43" s="4190"/>
      <c r="G43" s="321"/>
      <c r="H43" s="4186"/>
      <c r="I43" s="4187"/>
      <c r="J43" s="4187"/>
      <c r="K43" s="4187"/>
      <c r="L43" s="4188"/>
    </row>
    <row r="44" spans="1:12" s="314" customFormat="1" ht="13.35" customHeight="1">
      <c r="A44" s="1168">
        <f>'Part V-Revenues &amp; Expenses'!B23</f>
        <v>60</v>
      </c>
      <c r="B44" s="1169">
        <f>'Part V-Revenues &amp; Expenses'!E23</f>
        <v>22</v>
      </c>
      <c r="C44" s="1170" t="str">
        <f>_xlfn.CONCAT('Part V-Revenues &amp; Expenses'!C23," / ",'Part V-Revenues &amp; Expenses'!D23)</f>
        <v>2 / 2</v>
      </c>
      <c r="D44" s="1169">
        <f>'Part V-Revenues &amp; Expenses'!F23</f>
        <v>984</v>
      </c>
      <c r="E44" s="4189">
        <f>'Part V-Revenues &amp; Expenses'!H23</f>
        <v>1045</v>
      </c>
      <c r="F44" s="4190"/>
      <c r="G44" s="321"/>
      <c r="H44" s="4186"/>
      <c r="I44" s="4187"/>
      <c r="J44" s="4187"/>
      <c r="K44" s="4187"/>
      <c r="L44" s="4188"/>
    </row>
    <row r="45" spans="1:12" s="314" customFormat="1" ht="13.3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9">
        <f>'Part V-Revenues &amp; Expenses'!H24</f>
        <v>0</v>
      </c>
      <c r="F45" s="4190"/>
      <c r="G45" s="321"/>
      <c r="H45" s="4186"/>
      <c r="I45" s="4187"/>
      <c r="J45" s="4187"/>
      <c r="K45" s="4187"/>
      <c r="L45" s="4188"/>
    </row>
    <row r="46" spans="1:12" s="314" customFormat="1" ht="13.35" customHeight="1">
      <c r="A46" s="1168">
        <f>'Part V-Revenues &amp; Expenses'!B25</f>
        <v>50</v>
      </c>
      <c r="B46" s="1169">
        <f>'Part V-Revenues &amp; Expenses'!E25</f>
        <v>2</v>
      </c>
      <c r="C46" s="1170" t="str">
        <f>_xlfn.CONCAT('Part V-Revenues &amp; Expenses'!C25," / ",'Part V-Revenues &amp; Expenses'!D25)</f>
        <v>3 / 2</v>
      </c>
      <c r="D46" s="1169">
        <f>'Part V-Revenues &amp; Expenses'!F25</f>
        <v>1126</v>
      </c>
      <c r="E46" s="4189">
        <f>'Part V-Revenues &amp; Expenses'!H25</f>
        <v>1006</v>
      </c>
      <c r="F46" s="4190"/>
      <c r="G46" s="321"/>
      <c r="H46" s="4186"/>
      <c r="I46" s="4187"/>
      <c r="J46" s="4187"/>
      <c r="K46" s="4187"/>
      <c r="L46" s="4188"/>
    </row>
    <row r="47" spans="1:12" s="314" customFormat="1" ht="13.35" customHeight="1">
      <c r="A47" s="1168">
        <f>'Part V-Revenues &amp; Expenses'!B26</f>
        <v>60</v>
      </c>
      <c r="B47" s="1169">
        <f>'Part V-Revenues &amp; Expenses'!E26</f>
        <v>2</v>
      </c>
      <c r="C47" s="1170" t="str">
        <f>_xlfn.CONCAT('Part V-Revenues &amp; Expenses'!C26," / ",'Part V-Revenues &amp; Expenses'!D26)</f>
        <v>3 / 2</v>
      </c>
      <c r="D47" s="1169">
        <f>'Part V-Revenues &amp; Expenses'!F26</f>
        <v>1126</v>
      </c>
      <c r="E47" s="4189">
        <f>'Part V-Revenues &amp; Expenses'!H26</f>
        <v>1207</v>
      </c>
      <c r="F47" s="4190"/>
      <c r="G47" s="321"/>
      <c r="H47" s="4186"/>
      <c r="I47" s="4187"/>
      <c r="J47" s="4187"/>
      <c r="K47" s="4187"/>
      <c r="L47" s="4188"/>
    </row>
    <row r="48" spans="1:12" s="314" customFormat="1" ht="13.3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186"/>
      <c r="I48" s="4187"/>
      <c r="J48" s="4187"/>
      <c r="K48" s="4187"/>
      <c r="L48" s="4188"/>
    </row>
    <row r="49" spans="1:13" s="314" customFormat="1" ht="13.3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186"/>
      <c r="I49" s="4187"/>
      <c r="J49" s="4187"/>
      <c r="K49" s="4187"/>
      <c r="L49" s="4188"/>
    </row>
    <row r="50" spans="1:13" s="314" customFormat="1" ht="13.3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186"/>
      <c r="I50" s="4187"/>
      <c r="J50" s="4187"/>
      <c r="K50" s="4187"/>
      <c r="L50" s="4188"/>
    </row>
    <row r="51" spans="1:13" s="314" customFormat="1" ht="13.3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186"/>
      <c r="I51" s="4187"/>
      <c r="J51" s="4187"/>
      <c r="K51" s="4187"/>
      <c r="L51" s="4188"/>
    </row>
    <row r="52" spans="1:13" s="314" customFormat="1" ht="13.3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186"/>
      <c r="I52" s="4187"/>
      <c r="J52" s="4187"/>
      <c r="K52" s="4187"/>
      <c r="L52" s="4188"/>
    </row>
    <row r="53" spans="1:13" s="314" customFormat="1" ht="13.3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186"/>
      <c r="I53" s="4187"/>
      <c r="J53" s="4187"/>
      <c r="K53" s="4187"/>
      <c r="L53" s="4188"/>
    </row>
    <row r="54" spans="1:13" s="314" customFormat="1" ht="13.3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186"/>
      <c r="I54" s="4187"/>
      <c r="J54" s="4187"/>
      <c r="K54" s="4187"/>
      <c r="L54" s="4188"/>
    </row>
    <row r="55" spans="1:13" s="314" customFormat="1" ht="13.3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186"/>
      <c r="I55" s="4187"/>
      <c r="J55" s="4187"/>
      <c r="K55" s="4187"/>
      <c r="L55" s="4188"/>
    </row>
    <row r="56" spans="1:13" s="314" customFormat="1" ht="13.3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3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3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3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3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3"/>
    </row>
    <row r="61" spans="1:13" s="314" customFormat="1" ht="13.3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3"/>
    </row>
    <row r="62" spans="1:13" s="314" customFormat="1" ht="13.3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3"/>
    </row>
    <row r="63" spans="1:13" s="314" customFormat="1" ht="13.3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3"/>
    </row>
    <row r="64" spans="1:13" s="314" customFormat="1" ht="13.3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3"/>
    </row>
    <row r="65" spans="1:19" ht="13.3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3"/>
      <c r="S65" s="314"/>
    </row>
    <row r="66" spans="1:19" ht="13.3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3"/>
      <c r="S66" s="314"/>
    </row>
    <row r="67" spans="1:19" ht="13.3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3"/>
      <c r="S67" s="314"/>
    </row>
    <row r="68" spans="1:19" ht="13.3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3"/>
      <c r="S68" s="314"/>
    </row>
    <row r="69" spans="1:19" ht="13.3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3"/>
      <c r="S69" s="314"/>
    </row>
    <row r="70" spans="1:19" ht="13.35" customHeight="1">
      <c r="C70" s="1097"/>
      <c r="F70" s="2623"/>
      <c r="G70" s="2623"/>
      <c r="H70" s="2623"/>
      <c r="I70" s="2623"/>
      <c r="J70" s="2623"/>
      <c r="K70" s="1096"/>
      <c r="L70" s="2623"/>
      <c r="M70" s="2623"/>
      <c r="S70" s="314"/>
    </row>
    <row r="71" spans="1:19" ht="13.35" customHeight="1">
      <c r="C71" s="1097"/>
      <c r="F71" s="2623"/>
      <c r="G71" s="2623"/>
      <c r="H71" s="2623"/>
      <c r="I71" s="2623"/>
      <c r="J71" s="2623"/>
      <c r="K71" s="1096"/>
      <c r="L71" s="2623"/>
      <c r="M71" s="2623"/>
      <c r="S71" s="314"/>
    </row>
    <row r="72" spans="1:19" ht="13.35" customHeight="1">
      <c r="C72" s="1097"/>
      <c r="F72" s="2623"/>
      <c r="G72" s="2623"/>
      <c r="H72" s="2623"/>
      <c r="I72" s="2623"/>
      <c r="J72" s="2623"/>
      <c r="K72" s="1096"/>
      <c r="L72" s="2623"/>
      <c r="M72" s="2623"/>
      <c r="S72" s="314"/>
    </row>
    <row r="73" spans="1:19" ht="13.35" customHeight="1">
      <c r="C73" s="1097"/>
      <c r="F73" s="2623"/>
      <c r="G73" s="2623"/>
      <c r="H73" s="2623"/>
      <c r="I73" s="2623"/>
      <c r="J73" s="2623"/>
      <c r="K73" s="1096"/>
      <c r="L73" s="2623"/>
      <c r="M73" s="2623"/>
      <c r="S73" s="314"/>
    </row>
    <row r="74" spans="1:19" ht="13.35" customHeight="1">
      <c r="C74" s="1097"/>
      <c r="F74" s="2623"/>
      <c r="G74" s="2623"/>
      <c r="H74" s="2623"/>
      <c r="I74" s="2623"/>
      <c r="J74" s="2623"/>
      <c r="K74" s="1096"/>
      <c r="L74" s="2623"/>
      <c r="M74" s="2623"/>
      <c r="S74" s="314"/>
    </row>
    <row r="75" spans="1:19" ht="13.35" customHeight="1">
      <c r="C75" s="1097"/>
      <c r="F75" s="2623"/>
      <c r="G75" s="2623"/>
      <c r="H75" s="2623"/>
      <c r="I75" s="2623"/>
      <c r="J75" s="2623"/>
      <c r="K75" s="1096"/>
      <c r="L75" s="2623"/>
      <c r="M75" s="2623"/>
      <c r="S75" s="314"/>
    </row>
    <row r="76" spans="1:19" ht="13.35" customHeight="1">
      <c r="C76" s="1097"/>
      <c r="F76" s="2623"/>
      <c r="G76" s="2623"/>
      <c r="H76" s="2623"/>
      <c r="I76" s="2623"/>
      <c r="J76" s="2623"/>
      <c r="K76" s="1096"/>
      <c r="L76" s="2623"/>
      <c r="M76" s="2623"/>
      <c r="S76" s="314"/>
    </row>
    <row r="77" spans="1:19" ht="13.35" customHeight="1">
      <c r="C77" s="1097"/>
      <c r="F77" s="2623"/>
      <c r="G77" s="2623"/>
      <c r="H77" s="2623"/>
      <c r="I77" s="2623"/>
      <c r="J77" s="2623"/>
      <c r="K77" s="1096"/>
      <c r="L77" s="2623"/>
      <c r="M77" s="2623"/>
      <c r="S77" s="314"/>
    </row>
    <row r="78" spans="1:19" ht="13.35" customHeight="1">
      <c r="C78" s="1097"/>
      <c r="F78" s="2623"/>
      <c r="G78" s="2623"/>
      <c r="H78" s="2623"/>
      <c r="I78" s="2623"/>
      <c r="J78" s="2623"/>
      <c r="K78" s="1096"/>
      <c r="L78" s="2623"/>
      <c r="M78" s="2623"/>
      <c r="S78" s="314"/>
    </row>
    <row r="79" spans="1:19" ht="13.35" customHeight="1">
      <c r="C79" s="1097"/>
      <c r="F79" s="2623"/>
      <c r="G79" s="2623"/>
      <c r="H79" s="2623"/>
      <c r="I79" s="2623"/>
      <c r="J79" s="2623"/>
      <c r="K79" s="1096"/>
      <c r="L79" s="2623"/>
      <c r="M79" s="2623"/>
      <c r="S79" s="314"/>
    </row>
    <row r="80" spans="1:19" ht="13.35" customHeight="1">
      <c r="C80" s="1097"/>
      <c r="F80" s="2623"/>
      <c r="G80" s="2623"/>
      <c r="H80" s="2623"/>
      <c r="I80" s="2623"/>
      <c r="J80" s="2623"/>
      <c r="K80" s="1096"/>
      <c r="L80" s="2623"/>
      <c r="M80" s="2623"/>
      <c r="S80" s="314"/>
    </row>
    <row r="81" spans="3:19" ht="13.35" customHeight="1">
      <c r="C81" s="1097"/>
      <c r="F81" s="2623"/>
      <c r="G81" s="2623"/>
      <c r="H81" s="2623"/>
      <c r="I81" s="2623"/>
      <c r="J81" s="2623"/>
      <c r="K81" s="1096"/>
      <c r="L81" s="2623"/>
      <c r="M81" s="2623"/>
      <c r="S81" s="314"/>
    </row>
    <row r="82" spans="3:19" ht="13.35" customHeight="1">
      <c r="C82" s="1097"/>
      <c r="F82" s="2623"/>
      <c r="G82" s="2623"/>
      <c r="H82" s="2623"/>
      <c r="I82" s="2623"/>
      <c r="J82" s="2623"/>
      <c r="K82" s="1096"/>
      <c r="L82" s="2623"/>
      <c r="M82" s="2623"/>
      <c r="S82" s="314"/>
    </row>
    <row r="83" spans="3:19" ht="13.35" customHeight="1">
      <c r="C83" s="1097"/>
      <c r="F83" s="2623"/>
      <c r="G83" s="2623"/>
      <c r="H83" s="2623"/>
      <c r="I83" s="2623"/>
      <c r="J83" s="2623"/>
      <c r="K83" s="1096"/>
      <c r="L83" s="2623"/>
      <c r="M83" s="2623"/>
      <c r="S83" s="314"/>
    </row>
    <row r="84" spans="3:19" ht="13.35" customHeight="1">
      <c r="C84" s="1097"/>
      <c r="F84" s="2623"/>
      <c r="G84" s="2623"/>
      <c r="H84" s="2623"/>
      <c r="I84" s="2623"/>
      <c r="J84" s="2623"/>
      <c r="K84" s="1096"/>
      <c r="L84" s="2623"/>
      <c r="M84" s="2623"/>
      <c r="S84" s="314"/>
    </row>
    <row r="85" spans="3:19" ht="13.35" customHeight="1">
      <c r="C85" s="1097"/>
      <c r="F85" s="2623"/>
      <c r="G85" s="2623"/>
      <c r="H85" s="2623"/>
      <c r="I85" s="2623"/>
      <c r="J85" s="2623"/>
      <c r="K85" s="1096"/>
      <c r="L85" s="2623"/>
      <c r="M85" s="2623"/>
      <c r="S85" s="314"/>
    </row>
    <row r="86" spans="3:19" ht="13.35" customHeight="1">
      <c r="C86" s="1097"/>
      <c r="F86" s="2623"/>
      <c r="G86" s="2623"/>
      <c r="H86" s="2623"/>
      <c r="I86" s="2623"/>
      <c r="J86" s="2623"/>
      <c r="K86" s="1096"/>
      <c r="L86" s="2623"/>
      <c r="M86" s="2623"/>
      <c r="S86" s="314"/>
    </row>
    <row r="87" spans="3:19" ht="13.35" customHeight="1">
      <c r="C87" s="1097"/>
      <c r="F87" s="2623"/>
      <c r="G87" s="2623"/>
      <c r="H87" s="2623"/>
      <c r="I87" s="2623"/>
      <c r="J87" s="2623"/>
      <c r="K87" s="1096"/>
      <c r="L87" s="2623"/>
      <c r="M87" s="2623"/>
      <c r="S87" s="314"/>
    </row>
    <row r="88" spans="3:19" ht="13.35" customHeight="1">
      <c r="C88" s="1097"/>
      <c r="F88" s="2623"/>
      <c r="G88" s="2623"/>
      <c r="H88" s="2623"/>
      <c r="I88" s="2623"/>
      <c r="J88" s="2623"/>
      <c r="K88" s="1096"/>
      <c r="L88" s="2623"/>
      <c r="M88" s="2623"/>
      <c r="S88" s="314"/>
    </row>
    <row r="89" spans="3:19" ht="13.35" customHeight="1">
      <c r="C89" s="1097"/>
      <c r="F89" s="2623"/>
      <c r="G89" s="2623"/>
      <c r="H89" s="2623"/>
      <c r="I89" s="2623"/>
      <c r="J89" s="2623"/>
      <c r="K89" s="1096"/>
      <c r="L89" s="2623"/>
      <c r="M89" s="2623"/>
      <c r="S89" s="314"/>
    </row>
    <row r="90" spans="3:19" ht="13.35" customHeight="1">
      <c r="C90" s="1097"/>
      <c r="F90" s="2623"/>
      <c r="G90" s="2623"/>
      <c r="H90" s="2623"/>
      <c r="I90" s="2623"/>
      <c r="J90" s="2623"/>
      <c r="K90" s="1096"/>
      <c r="L90" s="2623"/>
      <c r="M90" s="2623"/>
      <c r="S90" s="314"/>
    </row>
    <row r="91" spans="3:19" ht="13.35" customHeight="1">
      <c r="C91" s="1097"/>
      <c r="F91" s="2623"/>
      <c r="G91" s="2623"/>
      <c r="H91" s="2623"/>
      <c r="I91" s="2623"/>
      <c r="J91" s="2623"/>
      <c r="K91" s="1096"/>
      <c r="L91" s="2623"/>
      <c r="M91" s="2623"/>
      <c r="S91" s="314"/>
    </row>
    <row r="92" spans="3:19" ht="13.35" customHeight="1">
      <c r="C92" s="1097"/>
      <c r="F92" s="2623"/>
      <c r="G92" s="2623"/>
      <c r="H92" s="2623"/>
      <c r="I92" s="2623"/>
      <c r="J92" s="2623"/>
      <c r="K92" s="1096"/>
      <c r="L92" s="2623"/>
      <c r="M92" s="2623"/>
      <c r="S92" s="314"/>
    </row>
    <row r="93" spans="3:19" ht="13.35" customHeight="1">
      <c r="C93" s="1097"/>
      <c r="F93" s="2623"/>
      <c r="G93" s="2623"/>
      <c r="H93" s="2623"/>
      <c r="I93" s="2623"/>
      <c r="J93" s="2623"/>
      <c r="K93" s="1096"/>
      <c r="L93" s="2623"/>
      <c r="M93" s="2623"/>
      <c r="S93" s="314"/>
    </row>
    <row r="94" spans="3:19" ht="13.35" customHeight="1">
      <c r="C94" s="1097"/>
      <c r="F94" s="2623"/>
      <c r="G94" s="2623"/>
      <c r="H94" s="2623"/>
      <c r="I94" s="2623"/>
      <c r="J94" s="2623"/>
      <c r="K94" s="1096"/>
      <c r="L94" s="2623"/>
      <c r="M94" s="2623"/>
      <c r="S94" s="314"/>
    </row>
    <row r="95" spans="3:19" ht="13.35" customHeight="1">
      <c r="C95" s="1097"/>
      <c r="F95" s="2623"/>
      <c r="G95" s="2623"/>
      <c r="H95" s="2623"/>
      <c r="I95" s="2623"/>
      <c r="J95" s="2623"/>
      <c r="K95" s="1096"/>
      <c r="L95" s="2623"/>
      <c r="M95" s="2623"/>
      <c r="S95" s="314"/>
    </row>
    <row r="96" spans="3:19" ht="13.35" customHeight="1">
      <c r="C96" s="1097"/>
      <c r="F96" s="2623"/>
      <c r="G96" s="2623"/>
      <c r="H96" s="2623"/>
      <c r="I96" s="2623"/>
      <c r="J96" s="2623"/>
      <c r="K96" s="1096"/>
      <c r="L96" s="2623"/>
      <c r="M96" s="2623"/>
      <c r="S96" s="314"/>
    </row>
    <row r="97" spans="3:19" ht="13.35" customHeight="1">
      <c r="C97" s="1097"/>
      <c r="F97" s="2623"/>
      <c r="G97" s="2623"/>
      <c r="H97" s="2623"/>
      <c r="I97" s="2623"/>
      <c r="J97" s="2623"/>
      <c r="K97" s="1096"/>
      <c r="L97" s="2623"/>
      <c r="M97" s="2623"/>
      <c r="S97" s="314"/>
    </row>
    <row r="98" spans="3:19" ht="13.35" customHeight="1">
      <c r="C98" s="1097"/>
      <c r="F98" s="2623"/>
      <c r="G98" s="2623"/>
      <c r="H98" s="2623"/>
      <c r="I98" s="2623"/>
      <c r="J98" s="2623"/>
      <c r="K98" s="1096"/>
      <c r="L98" s="2623"/>
      <c r="M98" s="2623"/>
      <c r="S98" s="314"/>
    </row>
    <row r="99" spans="3:19" ht="13.35" customHeight="1">
      <c r="C99" s="1097"/>
      <c r="F99" s="2623"/>
      <c r="G99" s="2623"/>
      <c r="H99" s="2623"/>
      <c r="I99" s="2623"/>
      <c r="J99" s="2623"/>
      <c r="K99" s="1096"/>
      <c r="L99" s="2623"/>
      <c r="M99" s="2623"/>
      <c r="S99" s="314"/>
    </row>
    <row r="100" spans="3:19" ht="13.35" customHeight="1">
      <c r="C100" s="1097"/>
      <c r="F100" s="2623"/>
      <c r="G100" s="2623"/>
      <c r="H100" s="2623"/>
      <c r="I100" s="2623"/>
      <c r="J100" s="2623"/>
      <c r="K100" s="1096"/>
      <c r="L100" s="2623"/>
      <c r="M100" s="2623"/>
      <c r="S100" s="314"/>
    </row>
    <row r="101" spans="3:19" ht="13.35" customHeight="1">
      <c r="C101" s="1097"/>
      <c r="F101" s="2623"/>
      <c r="G101" s="2623"/>
      <c r="H101" s="2623"/>
      <c r="I101" s="2623"/>
      <c r="J101" s="2623"/>
      <c r="K101" s="1096"/>
      <c r="L101" s="2623"/>
      <c r="M101" s="2623"/>
      <c r="S101" s="314"/>
    </row>
    <row r="102" spans="3:19" ht="13.35" customHeight="1">
      <c r="C102" s="1097"/>
      <c r="F102" s="2623"/>
      <c r="G102" s="2623"/>
      <c r="H102" s="2623"/>
      <c r="I102" s="2623"/>
      <c r="J102" s="2623"/>
      <c r="K102" s="1096"/>
      <c r="L102" s="2623"/>
      <c r="M102" s="2623"/>
      <c r="S102" s="314"/>
    </row>
    <row r="103" spans="3:19" ht="13.35" customHeight="1">
      <c r="C103" s="1097"/>
      <c r="F103" s="2623"/>
      <c r="G103" s="2623"/>
      <c r="H103" s="2623"/>
      <c r="I103" s="2623"/>
      <c r="J103" s="2623"/>
      <c r="K103" s="1096"/>
      <c r="L103" s="2623"/>
      <c r="M103" s="2623"/>
      <c r="S103" s="314"/>
    </row>
    <row r="104" spans="3:19" ht="13.35" customHeight="1">
      <c r="C104" s="1097"/>
      <c r="F104" s="2623"/>
      <c r="G104" s="2623"/>
      <c r="H104" s="2623"/>
      <c r="I104" s="2623"/>
      <c r="J104" s="2623"/>
      <c r="K104" s="1096"/>
      <c r="L104" s="2623"/>
      <c r="M104" s="2623"/>
      <c r="S104" s="314"/>
    </row>
    <row r="105" spans="3:19" ht="13.35" customHeight="1">
      <c r="C105" s="1097"/>
      <c r="F105" s="2623"/>
      <c r="G105" s="2623"/>
      <c r="H105" s="2623"/>
      <c r="I105" s="2623"/>
      <c r="J105" s="2623"/>
      <c r="K105" s="1096"/>
      <c r="L105" s="2623"/>
      <c r="M105" s="2623"/>
      <c r="S105" s="314"/>
    </row>
    <row r="106" spans="3:19" ht="13.35" customHeight="1">
      <c r="C106" s="1097"/>
      <c r="F106" s="2623"/>
      <c r="G106" s="2623"/>
      <c r="H106" s="2623"/>
      <c r="I106" s="2623"/>
      <c r="J106" s="2623"/>
      <c r="K106" s="1096"/>
      <c r="L106" s="2623"/>
      <c r="M106" s="2623"/>
      <c r="S106" s="314"/>
    </row>
    <row r="107" spans="3:19" ht="13.35" customHeight="1">
      <c r="C107" s="1097"/>
      <c r="F107" s="2623"/>
      <c r="G107" s="2623"/>
      <c r="H107" s="2623"/>
      <c r="I107" s="2623"/>
      <c r="J107" s="2623"/>
      <c r="K107" s="1096"/>
      <c r="L107" s="2623"/>
      <c r="M107" s="2623"/>
      <c r="S107" s="314"/>
    </row>
    <row r="108" spans="3:19" ht="13.35" customHeight="1">
      <c r="C108" s="1097" t="s">
        <v>3016</v>
      </c>
      <c r="F108" s="2623"/>
      <c r="G108" s="2623"/>
      <c r="H108" s="2623"/>
      <c r="I108" s="2623"/>
      <c r="J108" s="2623"/>
      <c r="K108" s="1096"/>
      <c r="L108" s="2623"/>
      <c r="M108" s="2623"/>
      <c r="S108" s="314"/>
    </row>
    <row r="109" spans="3:19" ht="13.35" customHeight="1">
      <c r="C109" s="1097"/>
      <c r="F109" s="2623"/>
      <c r="G109" s="2623"/>
      <c r="H109" s="2623"/>
      <c r="I109" s="2623"/>
      <c r="J109" s="2623"/>
      <c r="K109" s="1096"/>
      <c r="L109" s="2623"/>
      <c r="M109" s="2623"/>
      <c r="S109" s="314"/>
    </row>
    <row r="110" spans="3:19" ht="13.35" customHeight="1">
      <c r="C110" s="1097"/>
      <c r="F110" s="2623"/>
      <c r="G110" s="2623"/>
      <c r="H110" s="2623"/>
      <c r="I110" s="2623"/>
      <c r="J110" s="2623"/>
      <c r="K110" s="1096"/>
      <c r="L110" s="2623"/>
      <c r="M110" s="2623"/>
      <c r="S110" s="314"/>
    </row>
    <row r="111" spans="3:19" ht="13.35" customHeight="1">
      <c r="C111" s="1097"/>
      <c r="F111" s="2623"/>
      <c r="G111" s="2623"/>
      <c r="H111" s="2623"/>
      <c r="I111" s="2623"/>
      <c r="J111" s="2623"/>
      <c r="K111" s="1096"/>
      <c r="L111" s="2623"/>
      <c r="M111" s="2623"/>
      <c r="S111" s="314"/>
    </row>
    <row r="112" spans="3:19" ht="13.35" customHeight="1">
      <c r="C112" s="1097"/>
      <c r="F112" s="2623"/>
      <c r="G112" s="2623"/>
      <c r="H112" s="2623"/>
      <c r="I112" s="2623"/>
      <c r="J112" s="2623"/>
      <c r="K112" s="1096"/>
      <c r="L112" s="2623"/>
      <c r="M112" s="2623"/>
      <c r="S112" s="314"/>
    </row>
    <row r="113" spans="3:19" ht="13.35" customHeight="1">
      <c r="C113" s="1097"/>
      <c r="F113" s="2623"/>
      <c r="G113" s="2623"/>
      <c r="H113" s="2623"/>
      <c r="I113" s="2623"/>
      <c r="J113" s="2623"/>
      <c r="K113" s="1096"/>
      <c r="L113" s="2623"/>
      <c r="M113" s="2623"/>
      <c r="S113" s="314"/>
    </row>
    <row r="114" spans="3:19" ht="13.35" customHeight="1">
      <c r="C114" s="1097"/>
      <c r="F114" s="2623"/>
      <c r="G114" s="2623"/>
      <c r="H114" s="2623"/>
      <c r="I114" s="2623"/>
      <c r="J114" s="2623"/>
      <c r="K114" s="1096"/>
      <c r="L114" s="2623"/>
      <c r="M114" s="2623"/>
      <c r="S114" s="314"/>
    </row>
    <row r="115" spans="3:19" ht="13.35" customHeight="1">
      <c r="C115" s="1097"/>
      <c r="F115" s="2623"/>
      <c r="G115" s="2623"/>
      <c r="H115" s="2623"/>
      <c r="I115" s="2623"/>
      <c r="J115" s="2623"/>
      <c r="K115" s="1096"/>
      <c r="L115" s="2623"/>
      <c r="M115" s="2623"/>
      <c r="S115" s="314"/>
    </row>
    <row r="116" spans="3:19" ht="13.35" customHeight="1">
      <c r="C116" s="1097"/>
      <c r="F116" s="2623"/>
      <c r="G116" s="2623"/>
      <c r="H116" s="2623"/>
      <c r="I116" s="2623"/>
      <c r="J116" s="2623"/>
      <c r="K116" s="1096"/>
      <c r="L116" s="2623"/>
      <c r="M116" s="2623"/>
      <c r="S116" s="314"/>
    </row>
    <row r="117" spans="3:19" ht="13.35" customHeight="1">
      <c r="C117" s="1097"/>
      <c r="F117" s="2623"/>
      <c r="G117" s="2623"/>
      <c r="H117" s="2623"/>
      <c r="I117" s="2623"/>
      <c r="J117" s="2623"/>
      <c r="K117" s="1096"/>
      <c r="L117" s="2623"/>
      <c r="M117" s="2623"/>
      <c r="S117" s="314"/>
    </row>
    <row r="118" spans="3:19" ht="13.35" customHeight="1">
      <c r="C118" s="1097"/>
      <c r="F118" s="2623"/>
      <c r="G118" s="2623"/>
      <c r="H118" s="2623"/>
      <c r="I118" s="2623"/>
      <c r="J118" s="2623"/>
      <c r="K118" s="1096"/>
      <c r="L118" s="2623"/>
      <c r="M118" s="2623"/>
      <c r="S118" s="314"/>
    </row>
    <row r="119" spans="3:19" ht="13.35" customHeight="1">
      <c r="C119" s="1097"/>
      <c r="F119" s="2623"/>
      <c r="G119" s="2623"/>
      <c r="H119" s="2623"/>
      <c r="I119" s="2623"/>
      <c r="J119" s="2623"/>
      <c r="K119" s="1096"/>
      <c r="L119" s="2623"/>
      <c r="M119" s="2623"/>
      <c r="S119" s="314"/>
    </row>
    <row r="120" spans="3:19" ht="13.35" customHeight="1">
      <c r="C120" s="1097"/>
      <c r="F120" s="2623"/>
      <c r="G120" s="2623"/>
      <c r="H120" s="2623"/>
      <c r="I120" s="2623"/>
      <c r="J120" s="2623"/>
      <c r="K120" s="1096"/>
      <c r="L120" s="2623"/>
      <c r="M120" s="2623"/>
      <c r="S120" s="314"/>
    </row>
    <row r="121" spans="3:19" ht="13.35" customHeight="1">
      <c r="C121" s="1097"/>
      <c r="F121" s="2623"/>
      <c r="G121" s="2623"/>
      <c r="H121" s="2623"/>
      <c r="I121" s="2623"/>
      <c r="J121" s="2623"/>
      <c r="K121" s="1096"/>
      <c r="L121" s="2623"/>
      <c r="M121" s="2623"/>
      <c r="S121" s="314"/>
    </row>
    <row r="122" spans="3:19" ht="13.35" customHeight="1">
      <c r="C122" s="1097"/>
      <c r="F122" s="2623"/>
      <c r="G122" s="2623"/>
      <c r="H122" s="2623"/>
      <c r="I122" s="2623"/>
      <c r="J122" s="2623"/>
      <c r="K122" s="1096"/>
      <c r="L122" s="2623"/>
      <c r="M122" s="2623"/>
      <c r="S122" s="314"/>
    </row>
    <row r="123" spans="3:19" ht="13.35" customHeight="1">
      <c r="C123" s="1097"/>
      <c r="F123" s="2623"/>
      <c r="G123" s="2623"/>
      <c r="H123" s="2623"/>
      <c r="I123" s="2623"/>
      <c r="J123" s="2623"/>
      <c r="K123" s="1096"/>
      <c r="L123" s="2623"/>
      <c r="M123" s="2623"/>
      <c r="S123" s="314"/>
    </row>
    <row r="124" spans="3:19" ht="13.35" customHeight="1">
      <c r="C124" s="1097"/>
      <c r="F124" s="2623"/>
      <c r="G124" s="2623"/>
      <c r="H124" s="2623"/>
      <c r="I124" s="2623"/>
      <c r="J124" s="2623"/>
      <c r="K124" s="1096"/>
      <c r="L124" s="2623"/>
      <c r="M124" s="2623"/>
      <c r="S124" s="314"/>
    </row>
    <row r="125" spans="3:19" ht="13.35" customHeight="1">
      <c r="C125" s="1097"/>
      <c r="F125" s="2623"/>
      <c r="G125" s="2623"/>
      <c r="H125" s="2623"/>
      <c r="I125" s="2623"/>
      <c r="J125" s="2623"/>
      <c r="K125" s="1096"/>
      <c r="L125" s="2623"/>
      <c r="M125" s="2623"/>
      <c r="S125" s="314"/>
    </row>
    <row r="126" spans="3:19" ht="13.35" customHeight="1">
      <c r="C126" s="1097"/>
      <c r="F126" s="2623"/>
      <c r="G126" s="2623"/>
      <c r="H126" s="2623"/>
      <c r="I126" s="2623"/>
      <c r="J126" s="2623"/>
      <c r="K126" s="1096"/>
      <c r="L126" s="2623"/>
      <c r="M126" s="2623"/>
      <c r="S126" s="314"/>
    </row>
    <row r="127" spans="3:19" ht="13.35" customHeight="1">
      <c r="C127" s="1097"/>
      <c r="F127" s="2623"/>
      <c r="G127" s="2623"/>
      <c r="H127" s="2623"/>
      <c r="I127" s="2623"/>
      <c r="J127" s="2623"/>
      <c r="K127" s="1096"/>
      <c r="L127" s="2623"/>
      <c r="M127" s="2623"/>
      <c r="S127" s="314"/>
    </row>
    <row r="128" spans="3:19" ht="13.35" customHeight="1">
      <c r="C128" s="1097"/>
      <c r="F128" s="2623"/>
      <c r="G128" s="2623"/>
      <c r="H128" s="2623"/>
      <c r="I128" s="2623"/>
      <c r="J128" s="2623"/>
      <c r="K128" s="1096"/>
      <c r="L128" s="2623"/>
      <c r="M128" s="2623"/>
      <c r="S128" s="314"/>
    </row>
    <row r="129" spans="3:19" ht="13.35" customHeight="1">
      <c r="C129" s="1097"/>
      <c r="F129" s="2623"/>
      <c r="G129" s="2623"/>
      <c r="H129" s="2623"/>
      <c r="I129" s="2623"/>
      <c r="J129" s="2623"/>
      <c r="K129" s="1096"/>
      <c r="L129" s="2623"/>
      <c r="M129" s="2623"/>
      <c r="S129" s="314"/>
    </row>
    <row r="130" spans="3:19" ht="13.35" customHeight="1">
      <c r="C130" s="1097"/>
      <c r="F130" s="2623"/>
      <c r="G130" s="2623"/>
      <c r="H130" s="2623"/>
      <c r="I130" s="2623"/>
      <c r="J130" s="2623"/>
      <c r="K130" s="1096"/>
      <c r="L130" s="2623"/>
      <c r="M130" s="2623"/>
      <c r="S130" s="314"/>
    </row>
    <row r="131" spans="3:19" ht="13.35" customHeight="1">
      <c r="C131" s="1097"/>
      <c r="F131" s="2623"/>
      <c r="G131" s="2623"/>
      <c r="H131" s="2623"/>
      <c r="I131" s="2623"/>
      <c r="J131" s="2623"/>
      <c r="K131" s="1096"/>
      <c r="L131" s="2623"/>
      <c r="M131" s="2623"/>
      <c r="S131" s="314"/>
    </row>
    <row r="132" spans="3:19" ht="13.35" customHeight="1">
      <c r="C132" s="1097"/>
      <c r="F132" s="2623"/>
      <c r="G132" s="2623"/>
      <c r="H132" s="2623"/>
      <c r="I132" s="2623"/>
      <c r="J132" s="2623"/>
      <c r="K132" s="1096"/>
      <c r="L132" s="2623"/>
      <c r="M132" s="2623"/>
      <c r="S132" s="314"/>
    </row>
    <row r="133" spans="3:19" ht="13.35" customHeight="1">
      <c r="C133" s="1097"/>
      <c r="F133" s="2623"/>
      <c r="G133" s="2623"/>
      <c r="H133" s="2623"/>
      <c r="I133" s="2623"/>
      <c r="J133" s="2623"/>
      <c r="K133" s="1096"/>
      <c r="L133" s="2623"/>
      <c r="M133" s="2623"/>
      <c r="S133" s="314"/>
    </row>
    <row r="134" spans="3:19" ht="13.35" customHeight="1">
      <c r="C134" s="1097"/>
      <c r="F134" s="2623"/>
      <c r="G134" s="2623"/>
      <c r="H134" s="2623"/>
      <c r="I134" s="2623"/>
      <c r="J134" s="2623"/>
      <c r="K134" s="1096"/>
      <c r="L134" s="2623"/>
      <c r="M134" s="2623"/>
      <c r="S134" s="314"/>
    </row>
    <row r="135" spans="3:19" ht="13.35" customHeight="1">
      <c r="C135" s="1097"/>
      <c r="F135" s="2623"/>
      <c r="G135" s="2623"/>
      <c r="H135" s="2623"/>
      <c r="I135" s="2623"/>
      <c r="J135" s="2623"/>
      <c r="K135" s="1096"/>
      <c r="L135" s="2623"/>
      <c r="M135" s="2623"/>
      <c r="S135" s="314"/>
    </row>
    <row r="136" spans="3:19" ht="13.35" customHeight="1">
      <c r="C136" s="1097"/>
      <c r="F136" s="2623"/>
      <c r="G136" s="2623"/>
      <c r="H136" s="2623"/>
      <c r="I136" s="2623"/>
      <c r="J136" s="2623"/>
      <c r="K136" s="1096"/>
      <c r="L136" s="2623"/>
      <c r="M136" s="2623"/>
      <c r="S136" s="314"/>
    </row>
    <row r="137" spans="3:19" ht="13.35" customHeight="1">
      <c r="C137" s="1097"/>
      <c r="F137" s="2623"/>
      <c r="G137" s="2623"/>
      <c r="H137" s="2623"/>
      <c r="I137" s="2623"/>
      <c r="J137" s="2623"/>
      <c r="K137" s="1096"/>
      <c r="L137" s="2623"/>
      <c r="M137" s="2623"/>
      <c r="S137" s="314"/>
    </row>
    <row r="138" spans="3:19" ht="13.35" customHeight="1">
      <c r="C138" s="1097"/>
      <c r="F138" s="2623"/>
      <c r="G138" s="2623"/>
      <c r="H138" s="2623"/>
      <c r="I138" s="2623"/>
      <c r="J138" s="2623"/>
      <c r="K138" s="1096"/>
      <c r="L138" s="2623"/>
      <c r="M138" s="2623"/>
      <c r="S138" s="314"/>
    </row>
    <row r="139" spans="3:19" ht="13.35" customHeight="1">
      <c r="C139" s="1097"/>
      <c r="F139" s="2623"/>
      <c r="G139" s="2623"/>
      <c r="H139" s="2623"/>
      <c r="I139" s="2623"/>
      <c r="J139" s="2623"/>
      <c r="K139" s="1096"/>
      <c r="L139" s="2623"/>
      <c r="M139" s="2623"/>
      <c r="S139" s="314"/>
    </row>
    <row r="140" spans="3:19" ht="13.35" customHeight="1">
      <c r="C140" s="1097"/>
      <c r="F140" s="2623"/>
      <c r="G140" s="2623"/>
      <c r="H140" s="2623"/>
      <c r="I140" s="2623"/>
      <c r="J140" s="2623"/>
      <c r="K140" s="1096"/>
      <c r="L140" s="2623"/>
      <c r="M140" s="2623"/>
      <c r="S140" s="314"/>
    </row>
    <row r="141" spans="3:19" ht="13.35" customHeight="1">
      <c r="C141" s="1097"/>
      <c r="F141" s="2623"/>
      <c r="G141" s="2623"/>
      <c r="H141" s="2623"/>
      <c r="I141" s="2623"/>
      <c r="J141" s="2623"/>
      <c r="K141" s="1096"/>
      <c r="L141" s="2623"/>
      <c r="M141" s="2623"/>
      <c r="S141" s="314"/>
    </row>
    <row r="142" spans="3:19" ht="13.35" customHeight="1">
      <c r="C142" s="1097"/>
      <c r="F142" s="2623"/>
      <c r="G142" s="2623"/>
      <c r="H142" s="2623"/>
      <c r="I142" s="2623"/>
      <c r="J142" s="2623"/>
      <c r="K142" s="1096"/>
      <c r="L142" s="2623"/>
      <c r="M142" s="2623"/>
      <c r="S142" s="314"/>
    </row>
    <row r="143" spans="3:19" ht="13.35" customHeight="1">
      <c r="C143" s="1097"/>
      <c r="F143" s="2623"/>
      <c r="G143" s="2623"/>
      <c r="H143" s="2623"/>
      <c r="I143" s="2623"/>
      <c r="J143" s="2623"/>
      <c r="K143" s="1096"/>
      <c r="L143" s="2623"/>
      <c r="M143" s="2623"/>
      <c r="S143" s="314"/>
    </row>
    <row r="144" spans="3:19" ht="13.35" customHeight="1">
      <c r="C144" s="1097"/>
      <c r="F144" s="2623"/>
      <c r="G144" s="2623"/>
      <c r="H144" s="2623"/>
      <c r="I144" s="2623"/>
      <c r="J144" s="2623"/>
      <c r="K144" s="1096"/>
      <c r="L144" s="2623"/>
      <c r="M144" s="2623"/>
      <c r="S144" s="314"/>
    </row>
    <row r="145" spans="3:19" ht="13.35" customHeight="1">
      <c r="C145" s="1097"/>
      <c r="F145" s="2623"/>
      <c r="G145" s="2623"/>
      <c r="H145" s="2623"/>
      <c r="I145" s="2623"/>
      <c r="J145" s="2623"/>
      <c r="K145" s="1096"/>
      <c r="L145" s="2623"/>
      <c r="M145" s="2623"/>
      <c r="S145" s="314"/>
    </row>
    <row r="146" spans="3:19" ht="13.35" customHeight="1">
      <c r="C146" s="1097"/>
      <c r="F146" s="2623"/>
      <c r="G146" s="2623"/>
      <c r="H146" s="2623"/>
      <c r="I146" s="2623"/>
      <c r="J146" s="2623"/>
      <c r="K146" s="1096"/>
      <c r="L146" s="2623"/>
      <c r="M146" s="2623"/>
      <c r="S146" s="314"/>
    </row>
    <row r="147" spans="3:19" ht="13.35" customHeight="1">
      <c r="C147" s="1097"/>
      <c r="F147" s="2623"/>
      <c r="G147" s="2623"/>
      <c r="H147" s="2623"/>
      <c r="I147" s="2623"/>
      <c r="J147" s="2623"/>
      <c r="K147" s="1096"/>
      <c r="L147" s="2623"/>
      <c r="M147" s="2623"/>
      <c r="S147" s="314"/>
    </row>
    <row r="148" spans="3:19" ht="13.35" customHeight="1">
      <c r="C148" s="1097"/>
      <c r="F148" s="2623"/>
      <c r="G148" s="2623"/>
      <c r="H148" s="2623"/>
      <c r="I148" s="2623"/>
      <c r="J148" s="2623"/>
      <c r="K148" s="1096"/>
      <c r="L148" s="2623"/>
      <c r="M148" s="2623"/>
      <c r="S148" s="314"/>
    </row>
    <row r="149" spans="3:19" ht="13.35" customHeight="1">
      <c r="C149" s="1097"/>
      <c r="F149" s="2623"/>
      <c r="G149" s="2623"/>
      <c r="H149" s="2623"/>
      <c r="I149" s="2623"/>
      <c r="J149" s="2623"/>
      <c r="K149" s="1096"/>
      <c r="L149" s="2623"/>
      <c r="M149" s="2623"/>
      <c r="S149" s="314"/>
    </row>
    <row r="150" spans="3:19" ht="13.35" customHeight="1">
      <c r="C150" s="1097"/>
      <c r="F150" s="2623"/>
      <c r="G150" s="2623"/>
      <c r="H150" s="2623"/>
      <c r="I150" s="2623"/>
      <c r="J150" s="2623"/>
      <c r="K150" s="1096"/>
      <c r="L150" s="2623"/>
      <c r="M150" s="2623"/>
      <c r="S150" s="314"/>
    </row>
    <row r="151" spans="3:19" ht="13.35" customHeight="1">
      <c r="C151" s="1097"/>
      <c r="F151" s="2623"/>
      <c r="G151" s="2623"/>
      <c r="H151" s="2623"/>
      <c r="I151" s="2623"/>
      <c r="J151" s="2623"/>
      <c r="K151" s="1096"/>
      <c r="L151" s="2623"/>
      <c r="M151" s="2623"/>
      <c r="S151" s="314"/>
    </row>
    <row r="152" spans="3:19" ht="13.35" customHeight="1">
      <c r="C152" s="1097"/>
      <c r="F152" s="2623"/>
      <c r="G152" s="2623"/>
      <c r="H152" s="2623"/>
      <c r="I152" s="2623"/>
      <c r="J152" s="2623"/>
      <c r="K152" s="1096"/>
      <c r="L152" s="2623"/>
      <c r="M152" s="2623"/>
      <c r="S152" s="314"/>
    </row>
    <row r="153" spans="3:19" ht="13.35" customHeight="1">
      <c r="C153" s="1097"/>
      <c r="F153" s="2623"/>
      <c r="G153" s="2623"/>
      <c r="H153" s="2623"/>
      <c r="I153" s="2623"/>
      <c r="J153" s="2623"/>
      <c r="K153" s="1096"/>
      <c r="L153" s="2623"/>
      <c r="M153" s="2623"/>
      <c r="S153" s="314"/>
    </row>
    <row r="154" spans="3:19" ht="13.35" customHeight="1">
      <c r="C154" s="1097"/>
      <c r="F154" s="2623"/>
      <c r="G154" s="2623"/>
      <c r="H154" s="2623"/>
      <c r="I154" s="2623"/>
      <c r="J154" s="2623"/>
      <c r="K154" s="1096"/>
      <c r="L154" s="2623"/>
      <c r="M154" s="2623"/>
      <c r="S154" s="314"/>
    </row>
    <row r="155" spans="3:19" ht="13.35" customHeight="1">
      <c r="C155" s="1097"/>
      <c r="F155" s="2623"/>
      <c r="G155" s="2623"/>
      <c r="H155" s="2623"/>
      <c r="I155" s="2623"/>
      <c r="J155" s="2623"/>
      <c r="K155" s="1096"/>
      <c r="L155" s="2623"/>
      <c r="M155" s="2623"/>
      <c r="S155" s="314"/>
    </row>
    <row r="156" spans="3:19" ht="13.35" customHeight="1">
      <c r="C156" s="1097"/>
      <c r="F156" s="2623"/>
      <c r="G156" s="2623"/>
      <c r="H156" s="2623"/>
      <c r="I156" s="2623"/>
      <c r="J156" s="2623"/>
      <c r="K156" s="1096"/>
      <c r="L156" s="2623"/>
      <c r="M156" s="2623"/>
      <c r="S156" s="314"/>
    </row>
    <row r="157" spans="3:19" ht="13.35" customHeight="1">
      <c r="C157" s="1097"/>
      <c r="F157" s="2623"/>
      <c r="G157" s="2623"/>
      <c r="H157" s="2623"/>
      <c r="I157" s="2623"/>
      <c r="J157" s="2623"/>
      <c r="K157" s="1096"/>
      <c r="L157" s="2623"/>
      <c r="M157" s="2623"/>
      <c r="S157" s="314"/>
    </row>
    <row r="158" spans="3:19" ht="13.35" customHeight="1">
      <c r="C158" s="1097"/>
      <c r="F158" s="2623"/>
      <c r="G158" s="2623"/>
      <c r="H158" s="2623"/>
      <c r="I158" s="2623"/>
      <c r="J158" s="2623"/>
      <c r="K158" s="1096"/>
      <c r="L158" s="2623"/>
      <c r="M158" s="2623"/>
      <c r="S158" s="314"/>
    </row>
    <row r="159" spans="3:19" ht="13.35" customHeight="1">
      <c r="C159" s="1097"/>
      <c r="F159" s="2623"/>
      <c r="G159" s="2623"/>
      <c r="H159" s="2623"/>
      <c r="I159" s="2623"/>
      <c r="J159" s="2623"/>
      <c r="K159" s="1096"/>
      <c r="L159" s="2623"/>
      <c r="M159" s="2623"/>
      <c r="S159" s="314"/>
    </row>
    <row r="160" spans="3:19" ht="13.35" customHeight="1">
      <c r="C160" s="1097"/>
      <c r="F160" s="2623"/>
      <c r="G160" s="2623"/>
      <c r="H160" s="2623"/>
      <c r="I160" s="2623"/>
      <c r="J160" s="2623"/>
      <c r="K160" s="1096"/>
      <c r="L160" s="2623"/>
      <c r="M160" s="2623"/>
      <c r="S160" s="314"/>
    </row>
    <row r="161" spans="3:19" ht="13.35" customHeight="1">
      <c r="C161" s="1097"/>
      <c r="F161" s="2623"/>
      <c r="G161" s="2623"/>
      <c r="H161" s="2623"/>
      <c r="I161" s="2623"/>
      <c r="J161" s="2623"/>
      <c r="K161" s="1096"/>
      <c r="L161" s="2623"/>
      <c r="M161" s="2623"/>
      <c r="S161" s="314"/>
    </row>
    <row r="162" spans="3:19" ht="13.35" customHeight="1">
      <c r="C162" s="1097"/>
      <c r="F162" s="2623"/>
      <c r="G162" s="2623"/>
      <c r="H162" s="2623"/>
      <c r="I162" s="2623"/>
      <c r="J162" s="2623"/>
      <c r="K162" s="1096"/>
      <c r="L162" s="2623"/>
      <c r="M162" s="2623"/>
      <c r="S162" s="314"/>
    </row>
    <row r="163" spans="3:19" ht="13.35" customHeight="1">
      <c r="C163" s="1097"/>
      <c r="F163" s="2623"/>
      <c r="G163" s="2623"/>
      <c r="H163" s="2623"/>
      <c r="I163" s="2623"/>
      <c r="J163" s="2623"/>
      <c r="K163" s="1096"/>
      <c r="L163" s="2623"/>
      <c r="M163" s="2623"/>
      <c r="S163" s="314"/>
    </row>
    <row r="164" spans="3:19" ht="13.35" customHeight="1">
      <c r="C164" s="1097"/>
      <c r="F164" s="2623"/>
      <c r="G164" s="2623"/>
      <c r="H164" s="2623"/>
      <c r="I164" s="2623"/>
      <c r="J164" s="2623"/>
      <c r="K164" s="1096"/>
      <c r="L164" s="2623"/>
      <c r="M164" s="2623"/>
      <c r="S164" s="314"/>
    </row>
    <row r="165" spans="3:19" ht="13.35" customHeight="1">
      <c r="C165" s="1097"/>
      <c r="F165" s="2623"/>
      <c r="G165" s="2623"/>
      <c r="H165" s="2623"/>
      <c r="I165" s="2623"/>
      <c r="J165" s="2623"/>
      <c r="K165" s="1096"/>
      <c r="L165" s="2623"/>
      <c r="M165" s="2623"/>
      <c r="S165" s="314"/>
    </row>
    <row r="166" spans="3:19" ht="13.35" customHeight="1">
      <c r="C166" s="1097"/>
      <c r="F166" s="2623"/>
      <c r="G166" s="2623"/>
      <c r="H166" s="2623"/>
      <c r="I166" s="2623"/>
      <c r="J166" s="2623"/>
      <c r="K166" s="1096"/>
      <c r="L166" s="2623"/>
      <c r="M166" s="2623"/>
      <c r="S166" s="314"/>
    </row>
    <row r="167" spans="3:19" ht="13.35" customHeight="1">
      <c r="C167" s="1097"/>
      <c r="F167" s="2623"/>
      <c r="G167" s="2623"/>
      <c r="H167" s="2623"/>
      <c r="I167" s="2623"/>
      <c r="J167" s="2623"/>
      <c r="K167" s="1096"/>
      <c r="L167" s="2623"/>
      <c r="M167" s="2623"/>
      <c r="S167" s="314"/>
    </row>
    <row r="168" spans="3:19" ht="13.35" customHeight="1">
      <c r="C168" s="1097"/>
      <c r="F168" s="2623"/>
      <c r="G168" s="2623"/>
      <c r="H168" s="2623"/>
      <c r="I168" s="2623"/>
      <c r="J168" s="2623"/>
      <c r="K168" s="1096"/>
      <c r="L168" s="2623"/>
      <c r="M168" s="2623"/>
      <c r="S168" s="314"/>
    </row>
    <row r="169" spans="3:19" ht="13.35" customHeight="1">
      <c r="C169" s="1097"/>
      <c r="F169" s="2623"/>
      <c r="G169" s="2623"/>
      <c r="H169" s="2623"/>
      <c r="I169" s="2623"/>
      <c r="J169" s="2623"/>
      <c r="K169" s="1096"/>
      <c r="L169" s="2623"/>
      <c r="M169" s="2623"/>
      <c r="S169" s="314"/>
    </row>
    <row r="170" spans="3:19" ht="13.35" customHeight="1">
      <c r="C170" s="1097"/>
      <c r="F170" s="2623"/>
      <c r="G170" s="2623"/>
      <c r="H170" s="2623"/>
      <c r="I170" s="2623"/>
      <c r="J170" s="2623"/>
      <c r="K170" s="1096"/>
      <c r="L170" s="2623"/>
      <c r="M170" s="2623"/>
      <c r="S170" s="314"/>
    </row>
    <row r="171" spans="3:19" ht="13.35" customHeight="1">
      <c r="C171" s="1097"/>
      <c r="F171" s="2623"/>
      <c r="G171" s="2623"/>
      <c r="H171" s="2623"/>
      <c r="I171" s="2623"/>
      <c r="J171" s="2623"/>
      <c r="K171" s="1096"/>
      <c r="L171" s="2623"/>
      <c r="M171" s="2623"/>
      <c r="S171" s="314"/>
    </row>
    <row r="172" spans="3:19" ht="13.35" customHeight="1">
      <c r="C172" s="1097"/>
      <c r="F172" s="2623"/>
      <c r="G172" s="2623"/>
      <c r="H172" s="2623"/>
      <c r="I172" s="2623"/>
      <c r="J172" s="2623"/>
      <c r="K172" s="1096"/>
      <c r="L172" s="2623"/>
      <c r="M172" s="2623"/>
      <c r="S172" s="314"/>
    </row>
    <row r="173" spans="3:19" ht="13.35" customHeight="1">
      <c r="C173" s="1097"/>
      <c r="F173" s="2623"/>
      <c r="G173" s="2623"/>
      <c r="H173" s="2623"/>
      <c r="I173" s="2623"/>
      <c r="J173" s="2623"/>
      <c r="K173" s="1096"/>
      <c r="L173" s="2623"/>
      <c r="M173" s="2623"/>
      <c r="S173" s="314"/>
    </row>
    <row r="174" spans="3:19" ht="13.35" customHeight="1">
      <c r="C174" s="1097"/>
      <c r="F174" s="2623"/>
      <c r="G174" s="2623"/>
      <c r="H174" s="2623"/>
      <c r="I174" s="2623"/>
      <c r="J174" s="2623"/>
      <c r="K174" s="1096"/>
      <c r="L174" s="2623"/>
      <c r="M174" s="2623"/>
      <c r="S174" s="314"/>
    </row>
    <row r="175" spans="3:19" ht="13.35" customHeight="1">
      <c r="C175" s="1097"/>
      <c r="F175" s="2623"/>
      <c r="G175" s="2623"/>
      <c r="H175" s="2623"/>
      <c r="I175" s="2623"/>
      <c r="J175" s="2623"/>
      <c r="K175" s="1096"/>
      <c r="L175" s="2623"/>
      <c r="M175" s="2623"/>
      <c r="S175" s="314"/>
    </row>
    <row r="176" spans="3:19" ht="13.35" customHeight="1">
      <c r="C176" s="1097"/>
      <c r="F176" s="2623"/>
      <c r="G176" s="2623"/>
      <c r="H176" s="2623"/>
      <c r="I176" s="2623"/>
      <c r="J176" s="2623"/>
      <c r="K176" s="1096"/>
      <c r="L176" s="2623"/>
      <c r="M176" s="2623"/>
      <c r="S176" s="314"/>
    </row>
    <row r="177" spans="3:19" ht="13.35" customHeight="1">
      <c r="C177" s="1097"/>
      <c r="F177" s="2623"/>
      <c r="G177" s="2623"/>
      <c r="H177" s="2623"/>
      <c r="I177" s="2623"/>
      <c r="J177" s="2623"/>
      <c r="K177" s="1096"/>
      <c r="L177" s="2623"/>
      <c r="M177" s="2623"/>
      <c r="S177" s="314"/>
    </row>
    <row r="178" spans="3:19" ht="13.35" customHeight="1">
      <c r="C178" s="1097"/>
      <c r="F178" s="2623"/>
      <c r="G178" s="2623"/>
      <c r="H178" s="2623"/>
      <c r="I178" s="2623"/>
      <c r="J178" s="2623"/>
      <c r="K178" s="1096"/>
      <c r="L178" s="2623"/>
      <c r="M178" s="2623"/>
      <c r="S178" s="314"/>
    </row>
    <row r="179" spans="3:19" ht="13.35" customHeight="1">
      <c r="C179" s="1097"/>
      <c r="F179" s="2623"/>
      <c r="G179" s="2623"/>
      <c r="H179" s="2623"/>
      <c r="I179" s="2623"/>
      <c r="J179" s="2623"/>
      <c r="K179" s="1096"/>
      <c r="L179" s="2623"/>
      <c r="M179" s="2623"/>
      <c r="S179" s="314"/>
    </row>
    <row r="180" spans="3:19" ht="13.35" customHeight="1">
      <c r="C180" s="1097"/>
      <c r="F180" s="2623"/>
      <c r="G180" s="2623"/>
      <c r="H180" s="2623"/>
      <c r="I180" s="2623"/>
      <c r="J180" s="2623"/>
      <c r="K180" s="1096"/>
      <c r="L180" s="2623"/>
      <c r="M180" s="2623"/>
      <c r="S180" s="314"/>
    </row>
    <row r="181" spans="3:19" ht="13.35" customHeight="1">
      <c r="C181" s="1097"/>
      <c r="F181" s="2623"/>
      <c r="G181" s="2623"/>
      <c r="H181" s="2623"/>
      <c r="I181" s="2623"/>
      <c r="J181" s="2623"/>
      <c r="K181" s="1096"/>
      <c r="L181" s="2623"/>
      <c r="M181" s="2623"/>
      <c r="S181" s="314"/>
    </row>
    <row r="182" spans="3:19" ht="13.35" customHeight="1">
      <c r="C182" s="1097"/>
      <c r="F182" s="2623"/>
      <c r="G182" s="2623"/>
      <c r="H182" s="2623"/>
      <c r="I182" s="2623"/>
      <c r="J182" s="2623"/>
      <c r="K182" s="1096"/>
      <c r="L182" s="2623"/>
      <c r="M182" s="2623"/>
      <c r="S182" s="314"/>
    </row>
    <row r="183" spans="3:19" ht="13.35" customHeight="1">
      <c r="C183" s="1097"/>
      <c r="F183" s="2623"/>
      <c r="G183" s="2623"/>
      <c r="H183" s="2623"/>
      <c r="I183" s="2623"/>
      <c r="J183" s="2623"/>
      <c r="K183" s="1096"/>
      <c r="L183" s="2623"/>
      <c r="M183" s="2623"/>
      <c r="S183" s="314"/>
    </row>
    <row r="184" spans="3:19" ht="13.35" customHeight="1">
      <c r="C184" s="1097"/>
      <c r="F184" s="2623"/>
      <c r="G184" s="2623"/>
      <c r="H184" s="2623"/>
      <c r="I184" s="2623"/>
      <c r="J184" s="2623"/>
      <c r="K184" s="1096"/>
      <c r="L184" s="2623"/>
      <c r="M184" s="2623"/>
      <c r="S184" s="314"/>
    </row>
    <row r="185" spans="3:19" ht="13.35" customHeight="1">
      <c r="C185" s="1097"/>
      <c r="F185" s="2623"/>
      <c r="G185" s="2623"/>
      <c r="H185" s="2623"/>
      <c r="I185" s="2623"/>
      <c r="J185" s="2623"/>
      <c r="K185" s="1096"/>
      <c r="L185" s="2623"/>
      <c r="M185" s="2623"/>
      <c r="S185" s="314"/>
    </row>
    <row r="186" spans="3:19" ht="13.35" customHeight="1">
      <c r="C186" s="1097"/>
      <c r="F186" s="2623"/>
      <c r="G186" s="2623"/>
      <c r="H186" s="2623"/>
      <c r="I186" s="2623"/>
      <c r="J186" s="2623"/>
      <c r="K186" s="1096"/>
      <c r="L186" s="2623"/>
      <c r="M186" s="2623"/>
      <c r="S186" s="314"/>
    </row>
    <row r="187" spans="3:19" ht="13.35" customHeight="1">
      <c r="C187" s="1097" t="s">
        <v>3016</v>
      </c>
      <c r="F187" s="2623"/>
      <c r="G187" s="2623"/>
      <c r="H187" s="2623"/>
      <c r="I187" s="2623"/>
      <c r="J187" s="2623"/>
      <c r="K187" s="1096"/>
      <c r="L187" s="2623"/>
      <c r="M187" s="2623"/>
      <c r="S187" s="314"/>
    </row>
    <row r="188" spans="3:19" ht="13.35" customHeight="1">
      <c r="C188" s="1097"/>
      <c r="F188" s="2623"/>
      <c r="G188" s="2623"/>
      <c r="H188" s="2623"/>
      <c r="I188" s="2623"/>
      <c r="J188" s="2623"/>
      <c r="K188" s="1096"/>
      <c r="L188" s="2623"/>
      <c r="M188" s="2623"/>
      <c r="S188" s="314"/>
    </row>
    <row r="189" spans="3:19" ht="13.35" customHeight="1">
      <c r="C189" s="1097"/>
      <c r="F189" s="2623"/>
      <c r="G189" s="2623"/>
      <c r="H189" s="2623"/>
      <c r="I189" s="2623"/>
      <c r="J189" s="2623"/>
      <c r="K189" s="1096"/>
      <c r="L189" s="2623"/>
      <c r="M189" s="2623"/>
      <c r="S189" s="314"/>
    </row>
    <row r="190" spans="3:19" ht="13.35" customHeight="1">
      <c r="C190" s="1097"/>
      <c r="F190" s="2623"/>
      <c r="G190" s="2623"/>
      <c r="H190" s="2623"/>
      <c r="I190" s="2623"/>
      <c r="J190" s="2623"/>
      <c r="K190" s="1096"/>
      <c r="L190" s="2623"/>
      <c r="M190" s="2623"/>
      <c r="S190" s="314"/>
    </row>
    <row r="191" spans="3:19" ht="13.35" customHeight="1">
      <c r="C191" s="1097"/>
      <c r="F191" s="2623"/>
      <c r="G191" s="2623"/>
      <c r="H191" s="2623"/>
      <c r="I191" s="2623"/>
      <c r="J191" s="2623"/>
      <c r="K191" s="1096"/>
      <c r="L191" s="2623"/>
      <c r="M191" s="2623"/>
      <c r="S191" s="314"/>
    </row>
    <row r="192" spans="3:19" ht="13.35" customHeight="1">
      <c r="C192" s="1097"/>
      <c r="F192" s="2623"/>
      <c r="G192" s="2623"/>
      <c r="H192" s="2623"/>
      <c r="I192" s="2623"/>
      <c r="J192" s="2623"/>
      <c r="K192" s="1096"/>
      <c r="L192" s="2623"/>
      <c r="M192" s="2623"/>
      <c r="S192" s="314"/>
    </row>
    <row r="193" spans="3:19" ht="13.35" customHeight="1">
      <c r="C193" s="1097"/>
      <c r="F193" s="411"/>
      <c r="G193" s="411"/>
      <c r="H193" s="411"/>
      <c r="I193" s="411"/>
      <c r="J193" s="411"/>
      <c r="K193" s="1096"/>
      <c r="L193" s="411"/>
      <c r="M193" s="411"/>
      <c r="S193" s="314"/>
    </row>
    <row r="194" spans="3:19" ht="13.35" customHeight="1">
      <c r="C194" s="1097"/>
      <c r="F194" s="411"/>
      <c r="G194" s="411"/>
      <c r="H194" s="411"/>
      <c r="I194" s="411"/>
      <c r="J194" s="411"/>
      <c r="K194" s="1096"/>
      <c r="L194" s="411"/>
      <c r="M194" s="411"/>
      <c r="S194" s="314"/>
    </row>
    <row r="195" spans="3:19" ht="13.35" customHeight="1">
      <c r="C195" s="1097"/>
      <c r="F195" s="411"/>
      <c r="G195" s="411"/>
      <c r="H195" s="411"/>
      <c r="I195" s="411"/>
      <c r="J195" s="411"/>
      <c r="K195" s="1096"/>
      <c r="L195" s="411"/>
      <c r="M195" s="411"/>
      <c r="S195" s="314"/>
    </row>
    <row r="196" spans="3:19" ht="13.35" customHeight="1">
      <c r="C196" s="1097"/>
      <c r="F196" s="411"/>
      <c r="G196" s="411"/>
      <c r="H196" s="411"/>
      <c r="I196" s="411"/>
      <c r="J196" s="411"/>
      <c r="K196" s="1096"/>
      <c r="L196" s="411"/>
      <c r="M196" s="411"/>
      <c r="S196" s="314"/>
    </row>
    <row r="197" spans="3:19" ht="13.35" customHeight="1">
      <c r="C197" s="1097"/>
      <c r="F197" s="411"/>
      <c r="G197" s="411"/>
      <c r="H197" s="411"/>
      <c r="I197" s="411"/>
      <c r="J197" s="411"/>
      <c r="K197" s="1096"/>
      <c r="L197" s="411"/>
      <c r="M197" s="411"/>
      <c r="S197" s="314"/>
    </row>
    <row r="198" spans="3:19" ht="13.35" customHeight="1">
      <c r="C198" s="1097"/>
      <c r="F198" s="411"/>
      <c r="G198" s="411"/>
      <c r="H198" s="411"/>
      <c r="I198" s="411"/>
      <c r="J198" s="411"/>
      <c r="K198" s="1096"/>
      <c r="L198" s="411"/>
      <c r="M198" s="411"/>
      <c r="S198" s="314"/>
    </row>
    <row r="199" spans="3:19" ht="13.35" customHeight="1">
      <c r="C199" s="1097"/>
      <c r="F199" s="411"/>
      <c r="G199" s="411"/>
      <c r="H199" s="411"/>
      <c r="I199" s="411"/>
      <c r="J199" s="411"/>
      <c r="K199" s="1096"/>
      <c r="L199" s="411"/>
      <c r="M199" s="411"/>
      <c r="S199" s="314"/>
    </row>
    <row r="200" spans="3:19" ht="13.35" customHeight="1">
      <c r="C200" s="1097"/>
      <c r="F200" s="411"/>
      <c r="G200" s="411"/>
      <c r="H200" s="411"/>
      <c r="I200" s="411"/>
      <c r="J200" s="411"/>
      <c r="K200" s="1096"/>
      <c r="L200" s="411"/>
      <c r="M200" s="411"/>
      <c r="S200" s="314"/>
    </row>
    <row r="201" spans="3:19" ht="13.35" customHeight="1">
      <c r="C201" s="1097"/>
      <c r="F201" s="411"/>
      <c r="G201" s="411"/>
      <c r="H201" s="411"/>
      <c r="I201" s="411"/>
      <c r="J201" s="411"/>
      <c r="K201" s="1096"/>
      <c r="L201" s="411"/>
      <c r="M201" s="411"/>
      <c r="S201" s="314"/>
    </row>
    <row r="202" spans="3:19" ht="13.35" customHeight="1">
      <c r="C202" s="1097"/>
      <c r="F202" s="411"/>
      <c r="G202" s="411"/>
      <c r="H202" s="411"/>
      <c r="I202" s="411"/>
      <c r="J202" s="411"/>
      <c r="K202" s="1096"/>
      <c r="L202" s="411"/>
      <c r="M202" s="411"/>
      <c r="S202" s="314"/>
    </row>
    <row r="203" spans="3:19" ht="13.35" customHeight="1">
      <c r="C203" s="1097"/>
      <c r="F203" s="411"/>
      <c r="G203" s="411"/>
      <c r="H203" s="411"/>
      <c r="I203" s="411"/>
      <c r="J203" s="411"/>
      <c r="K203" s="1096"/>
      <c r="L203" s="411"/>
      <c r="M203" s="411"/>
      <c r="S203" s="314"/>
    </row>
    <row r="204" spans="3:19" ht="13.35" customHeight="1">
      <c r="C204" s="1097"/>
      <c r="F204" s="411"/>
      <c r="G204" s="411"/>
      <c r="H204" s="411"/>
      <c r="I204" s="411"/>
      <c r="J204" s="411"/>
      <c r="K204" s="1096"/>
      <c r="L204" s="411"/>
      <c r="M204" s="411"/>
      <c r="S204" s="314"/>
    </row>
    <row r="205" spans="3:19" ht="13.35" customHeight="1">
      <c r="C205" s="1097"/>
      <c r="F205" s="411"/>
      <c r="G205" s="411"/>
      <c r="H205" s="411"/>
      <c r="I205" s="411"/>
      <c r="J205" s="411"/>
      <c r="K205" s="1096"/>
      <c r="L205" s="411"/>
      <c r="M205" s="411"/>
      <c r="S205" s="314"/>
    </row>
    <row r="206" spans="3:19" ht="13.35" customHeight="1">
      <c r="C206" s="1097"/>
      <c r="F206" s="411"/>
      <c r="G206" s="411"/>
      <c r="H206" s="411"/>
      <c r="I206" s="411"/>
      <c r="J206" s="411"/>
      <c r="K206" s="1096"/>
      <c r="L206" s="411"/>
      <c r="M206" s="411"/>
      <c r="S206" s="314"/>
    </row>
    <row r="207" spans="3:19" ht="13.35" customHeight="1">
      <c r="C207" s="1097"/>
      <c r="F207" s="411"/>
      <c r="G207" s="411"/>
      <c r="H207" s="411"/>
      <c r="I207" s="411"/>
      <c r="J207" s="411"/>
      <c r="K207" s="1096"/>
      <c r="L207" s="411"/>
      <c r="M207" s="411"/>
      <c r="S207" s="314"/>
    </row>
    <row r="208" spans="3:19" ht="13.35" customHeight="1">
      <c r="C208" s="1097"/>
      <c r="F208" s="411"/>
      <c r="G208" s="411"/>
      <c r="H208" s="411"/>
      <c r="I208" s="411"/>
      <c r="J208" s="411"/>
      <c r="K208" s="1096"/>
      <c r="L208" s="411"/>
      <c r="M208" s="411"/>
      <c r="S208" s="314"/>
    </row>
    <row r="209" spans="3:19" ht="13.35" customHeight="1">
      <c r="C209" s="1097"/>
      <c r="F209" s="411"/>
      <c r="G209" s="411"/>
      <c r="H209" s="411"/>
      <c r="I209" s="411"/>
      <c r="J209" s="411"/>
      <c r="K209" s="1096"/>
      <c r="L209" s="411"/>
      <c r="M209" s="411"/>
      <c r="S209" s="314"/>
    </row>
    <row r="210" spans="3:19" ht="13.35" customHeight="1">
      <c r="C210" s="1097"/>
      <c r="F210" s="411"/>
      <c r="G210" s="411"/>
      <c r="H210" s="411"/>
      <c r="I210" s="411"/>
      <c r="J210" s="411"/>
      <c r="K210" s="1096"/>
      <c r="L210" s="411"/>
      <c r="M210" s="411"/>
      <c r="S210" s="314"/>
    </row>
    <row r="211" spans="3:19" ht="13.35" customHeight="1">
      <c r="C211" s="1097"/>
      <c r="F211" s="411"/>
      <c r="G211" s="411"/>
      <c r="H211" s="411"/>
      <c r="I211" s="411"/>
      <c r="J211" s="411"/>
      <c r="K211" s="1096"/>
      <c r="L211" s="411"/>
      <c r="M211" s="411"/>
      <c r="S211" s="314"/>
    </row>
    <row r="212" spans="3:19" ht="13.35" customHeight="1">
      <c r="C212" s="1097"/>
      <c r="F212" s="411"/>
      <c r="G212" s="411"/>
      <c r="H212" s="411"/>
      <c r="I212" s="411"/>
      <c r="J212" s="411"/>
      <c r="K212" s="1096"/>
      <c r="L212" s="411"/>
      <c r="M212" s="411"/>
      <c r="S212" s="314"/>
    </row>
    <row r="213" spans="3:19" ht="13.35" customHeight="1">
      <c r="C213" s="1097"/>
      <c r="F213" s="411"/>
      <c r="G213" s="411"/>
      <c r="H213" s="411"/>
      <c r="I213" s="411"/>
      <c r="J213" s="411"/>
      <c r="K213" s="1096"/>
      <c r="L213" s="411"/>
      <c r="M213" s="411"/>
      <c r="S213" s="314"/>
    </row>
    <row r="214" spans="3:19" ht="13.35" customHeight="1">
      <c r="C214" s="1097"/>
      <c r="F214" s="411"/>
      <c r="G214" s="411"/>
      <c r="H214" s="411"/>
      <c r="I214" s="411"/>
      <c r="J214" s="411"/>
      <c r="K214" s="1096"/>
      <c r="L214" s="411"/>
      <c r="M214" s="411"/>
      <c r="S214" s="314"/>
    </row>
    <row r="215" spans="3:19" ht="13.35" customHeight="1">
      <c r="C215" s="1097"/>
      <c r="F215" s="411"/>
      <c r="G215" s="411"/>
      <c r="H215" s="411"/>
      <c r="I215" s="411"/>
      <c r="J215" s="411"/>
      <c r="K215" s="1096"/>
      <c r="L215" s="411"/>
      <c r="M215" s="411"/>
      <c r="S215" s="314"/>
    </row>
    <row r="216" spans="3:19" ht="13.35" customHeight="1">
      <c r="C216" s="1097"/>
      <c r="F216" s="411"/>
      <c r="G216" s="411"/>
      <c r="H216" s="411"/>
      <c r="I216" s="411"/>
      <c r="J216" s="411"/>
      <c r="K216" s="1096"/>
      <c r="L216" s="411"/>
      <c r="M216" s="411"/>
      <c r="S216" s="314"/>
    </row>
    <row r="217" spans="3:19" ht="13.35" customHeight="1">
      <c r="C217" s="1097"/>
      <c r="F217" s="411"/>
      <c r="G217" s="411"/>
      <c r="H217" s="411"/>
      <c r="I217" s="411"/>
      <c r="J217" s="411"/>
      <c r="K217" s="1096"/>
      <c r="L217" s="411"/>
      <c r="M217" s="411"/>
      <c r="S217" s="314"/>
    </row>
    <row r="218" spans="3:19" ht="13.35" customHeight="1">
      <c r="C218" s="1097"/>
      <c r="F218" s="411"/>
      <c r="G218" s="411"/>
      <c r="H218" s="411"/>
      <c r="I218" s="411"/>
      <c r="J218" s="411"/>
      <c r="K218" s="1096"/>
      <c r="L218" s="411"/>
      <c r="M218" s="411"/>
      <c r="S218" s="314"/>
    </row>
    <row r="219" spans="3:19" ht="13.35" customHeight="1">
      <c r="C219" s="1097"/>
      <c r="F219" s="411"/>
      <c r="G219" s="411"/>
      <c r="H219" s="411"/>
      <c r="I219" s="411"/>
      <c r="J219" s="411"/>
      <c r="K219" s="1096"/>
      <c r="L219" s="411"/>
      <c r="M219" s="411"/>
      <c r="S219" s="314"/>
    </row>
    <row r="220" spans="3:19" ht="13.35" customHeight="1">
      <c r="C220" s="1097"/>
      <c r="F220" s="411"/>
      <c r="G220" s="411"/>
      <c r="H220" s="411"/>
      <c r="I220" s="411"/>
      <c r="J220" s="411"/>
      <c r="K220" s="1096"/>
      <c r="L220" s="411"/>
      <c r="M220" s="411"/>
      <c r="S220" s="314"/>
    </row>
    <row r="221" spans="3:19" ht="13.35" customHeight="1">
      <c r="C221" s="1097"/>
      <c r="F221" s="411"/>
      <c r="G221" s="411"/>
      <c r="H221" s="411"/>
      <c r="I221" s="411"/>
      <c r="J221" s="411"/>
      <c r="K221" s="1096"/>
      <c r="L221" s="411"/>
      <c r="M221" s="411"/>
      <c r="S221" s="314"/>
    </row>
    <row r="222" spans="3:19" ht="13.35" customHeight="1">
      <c r="C222" s="1097"/>
      <c r="F222" s="411"/>
      <c r="G222" s="411"/>
      <c r="H222" s="411"/>
      <c r="I222" s="411"/>
      <c r="J222" s="411"/>
      <c r="K222" s="1096"/>
      <c r="L222" s="411"/>
      <c r="M222" s="411"/>
      <c r="S222" s="314"/>
    </row>
    <row r="223" spans="3:19" ht="13.35" customHeight="1">
      <c r="C223" s="1097"/>
      <c r="F223" s="411"/>
      <c r="G223" s="411"/>
      <c r="H223" s="411"/>
      <c r="I223" s="411"/>
      <c r="J223" s="411"/>
      <c r="K223" s="1096"/>
      <c r="L223" s="411"/>
      <c r="M223" s="411"/>
      <c r="S223" s="314"/>
    </row>
    <row r="224" spans="3:19" ht="13.35" customHeight="1">
      <c r="C224" s="1097"/>
      <c r="F224" s="411"/>
      <c r="G224" s="411"/>
      <c r="H224" s="411"/>
      <c r="I224" s="411"/>
      <c r="J224" s="411"/>
      <c r="K224" s="1096"/>
      <c r="L224" s="411"/>
      <c r="M224" s="411"/>
      <c r="S224" s="314"/>
    </row>
    <row r="225" spans="3:19" ht="13.35" customHeight="1">
      <c r="C225" s="1097"/>
      <c r="F225" s="411"/>
      <c r="G225" s="411"/>
      <c r="H225" s="411"/>
      <c r="I225" s="411"/>
      <c r="J225" s="411"/>
      <c r="K225" s="1096"/>
      <c r="L225" s="411"/>
      <c r="M225" s="411"/>
      <c r="S225" s="314"/>
    </row>
    <row r="226" spans="3:19" ht="13.35" customHeight="1">
      <c r="C226" s="1097"/>
      <c r="F226" s="411"/>
      <c r="G226" s="411"/>
      <c r="H226" s="411"/>
      <c r="I226" s="411"/>
      <c r="J226" s="411"/>
      <c r="K226" s="1096"/>
      <c r="L226" s="411"/>
      <c r="M226" s="411"/>
      <c r="S226" s="314"/>
    </row>
    <row r="227" spans="3:19" ht="13.35" customHeight="1">
      <c r="C227" s="1097"/>
      <c r="F227" s="411"/>
      <c r="G227" s="411"/>
      <c r="H227" s="411"/>
      <c r="I227" s="411"/>
      <c r="J227" s="411"/>
      <c r="K227" s="1096"/>
      <c r="L227" s="411"/>
      <c r="M227" s="411"/>
      <c r="S227" s="314"/>
    </row>
    <row r="228" spans="3:19" ht="13.35" customHeight="1">
      <c r="C228" s="1097"/>
      <c r="F228" s="411"/>
      <c r="G228" s="411"/>
      <c r="H228" s="411"/>
      <c r="I228" s="411"/>
      <c r="J228" s="411"/>
      <c r="K228" s="1096"/>
      <c r="L228" s="411"/>
      <c r="M228" s="411"/>
      <c r="S228" s="314"/>
    </row>
    <row r="229" spans="3:19" ht="13.35" customHeight="1">
      <c r="C229" s="1097"/>
      <c r="F229" s="411"/>
      <c r="G229" s="411"/>
      <c r="H229" s="411"/>
      <c r="I229" s="411"/>
      <c r="J229" s="411"/>
      <c r="K229" s="1096"/>
      <c r="L229" s="411"/>
      <c r="M229" s="411"/>
      <c r="S229" s="314"/>
    </row>
    <row r="230" spans="3:19" ht="13.35" customHeight="1">
      <c r="C230" s="1097"/>
      <c r="F230" s="411"/>
      <c r="G230" s="411"/>
      <c r="H230" s="411"/>
      <c r="I230" s="411"/>
      <c r="J230" s="411"/>
      <c r="K230" s="1096"/>
      <c r="L230" s="411"/>
      <c r="M230" s="411"/>
      <c r="S230" s="314"/>
    </row>
    <row r="231" spans="3:19" ht="13.35" customHeight="1">
      <c r="C231" s="1097"/>
      <c r="F231" s="411"/>
      <c r="G231" s="411"/>
      <c r="H231" s="411"/>
      <c r="I231" s="411"/>
      <c r="J231" s="411"/>
      <c r="K231" s="1096"/>
      <c r="L231" s="411"/>
      <c r="M231" s="411"/>
      <c r="S231" s="314"/>
    </row>
    <row r="232" spans="3:19" ht="13.35" customHeight="1">
      <c r="C232" s="1097"/>
      <c r="F232" s="411"/>
      <c r="G232" s="411"/>
      <c r="H232" s="411"/>
      <c r="I232" s="411"/>
      <c r="J232" s="411"/>
      <c r="K232" s="1096"/>
      <c r="L232" s="411"/>
      <c r="M232" s="411"/>
      <c r="S232" s="314"/>
    </row>
    <row r="233" spans="3:19" ht="13.35" customHeight="1">
      <c r="C233" s="1097"/>
      <c r="F233" s="411"/>
      <c r="G233" s="411"/>
      <c r="H233" s="411"/>
      <c r="I233" s="411"/>
      <c r="J233" s="411"/>
      <c r="K233" s="1096"/>
      <c r="L233" s="411"/>
      <c r="M233" s="411"/>
      <c r="S233" s="314"/>
    </row>
    <row r="234" spans="3:19" ht="13.35" customHeight="1">
      <c r="C234" s="1097"/>
      <c r="F234" s="411"/>
      <c r="G234" s="411"/>
      <c r="H234" s="411"/>
      <c r="I234" s="411"/>
      <c r="J234" s="411"/>
      <c r="K234" s="1096"/>
      <c r="L234" s="411"/>
      <c r="M234" s="411"/>
      <c r="S234" s="314"/>
    </row>
    <row r="235" spans="3:19" ht="13.35" customHeight="1">
      <c r="C235" s="1097"/>
      <c r="F235" s="411"/>
      <c r="G235" s="411"/>
      <c r="H235" s="411"/>
      <c r="I235" s="411"/>
      <c r="J235" s="411"/>
      <c r="K235" s="1096"/>
      <c r="L235" s="411"/>
      <c r="M235" s="411"/>
      <c r="S235" s="314"/>
    </row>
    <row r="236" spans="3:19" ht="13.35" customHeight="1">
      <c r="C236" s="1097"/>
      <c r="F236" s="411"/>
      <c r="G236" s="411"/>
      <c r="H236" s="411"/>
      <c r="I236" s="411"/>
      <c r="J236" s="411"/>
      <c r="K236" s="1096"/>
      <c r="L236" s="411"/>
      <c r="M236" s="411"/>
      <c r="S236" s="314"/>
    </row>
    <row r="237" spans="3:19" ht="13.35" customHeight="1">
      <c r="C237" s="1097"/>
      <c r="F237" s="411"/>
      <c r="G237" s="411"/>
      <c r="H237" s="411"/>
      <c r="I237" s="411"/>
      <c r="J237" s="411"/>
      <c r="K237" s="1096"/>
      <c r="L237" s="411"/>
      <c r="M237" s="411"/>
      <c r="S237" s="314"/>
    </row>
    <row r="238" spans="3:19" ht="13.35" customHeight="1">
      <c r="C238" s="1097"/>
      <c r="F238" s="411"/>
      <c r="G238" s="411"/>
      <c r="H238" s="411"/>
      <c r="I238" s="411"/>
      <c r="J238" s="411"/>
      <c r="K238" s="1096"/>
      <c r="L238" s="411"/>
      <c r="M238" s="411"/>
      <c r="S238" s="314"/>
    </row>
    <row r="239" spans="3:19" ht="13.35" customHeight="1">
      <c r="C239" s="1097"/>
      <c r="F239" s="411"/>
      <c r="G239" s="411"/>
      <c r="H239" s="411"/>
      <c r="I239" s="411"/>
      <c r="J239" s="411"/>
      <c r="K239" s="1096"/>
      <c r="L239" s="411"/>
      <c r="M239" s="411"/>
      <c r="S239" s="314"/>
    </row>
    <row r="240" spans="3:19" ht="13.35" customHeight="1">
      <c r="C240" s="1097"/>
      <c r="F240" s="411"/>
      <c r="G240" s="411"/>
      <c r="H240" s="411"/>
      <c r="I240" s="411"/>
      <c r="J240" s="411"/>
      <c r="K240" s="1096"/>
      <c r="L240" s="411"/>
      <c r="M240" s="411"/>
      <c r="S240" s="314"/>
    </row>
    <row r="241" spans="3:19" ht="13.35" customHeight="1">
      <c r="C241" s="1097"/>
      <c r="F241" s="411"/>
      <c r="G241" s="411"/>
      <c r="H241" s="411"/>
      <c r="I241" s="411"/>
      <c r="J241" s="411"/>
      <c r="K241" s="1096"/>
      <c r="L241" s="411"/>
      <c r="M241" s="411"/>
      <c r="S241" s="314"/>
    </row>
    <row r="242" spans="3:19" ht="13.35" customHeight="1">
      <c r="C242" s="1097"/>
      <c r="F242" s="411"/>
      <c r="G242" s="411"/>
      <c r="H242" s="411"/>
      <c r="I242" s="411"/>
      <c r="J242" s="411"/>
      <c r="K242" s="1096"/>
      <c r="L242" s="411"/>
      <c r="M242" s="411"/>
      <c r="S242" s="314"/>
    </row>
    <row r="243" spans="3:19" ht="13.35" customHeight="1">
      <c r="C243" s="1097"/>
      <c r="F243" s="411"/>
      <c r="G243" s="411"/>
      <c r="H243" s="411"/>
      <c r="I243" s="411"/>
      <c r="J243" s="411"/>
      <c r="K243" s="1096"/>
      <c r="L243" s="411"/>
      <c r="M243" s="411"/>
      <c r="S243" s="314"/>
    </row>
    <row r="244" spans="3:19" ht="13.35" customHeight="1">
      <c r="C244" s="1097"/>
      <c r="F244" s="411"/>
      <c r="G244" s="411"/>
      <c r="H244" s="411"/>
      <c r="I244" s="411"/>
      <c r="J244" s="411"/>
      <c r="K244" s="1096"/>
      <c r="L244" s="411"/>
      <c r="M244" s="411"/>
      <c r="S244" s="314"/>
    </row>
    <row r="245" spans="3:19" ht="13.35" customHeight="1">
      <c r="C245" s="1097"/>
      <c r="F245" s="411"/>
      <c r="G245" s="411"/>
      <c r="H245" s="411"/>
      <c r="I245" s="411"/>
      <c r="J245" s="411"/>
      <c r="K245" s="1096"/>
      <c r="L245" s="411"/>
      <c r="M245" s="411"/>
      <c r="S245" s="314"/>
    </row>
    <row r="246" spans="3:19" ht="13.35" customHeight="1">
      <c r="C246" s="1097"/>
      <c r="K246" s="2627"/>
      <c r="S246" s="314"/>
    </row>
    <row r="247" spans="3:19" ht="13.35" customHeight="1">
      <c r="C247" s="1097"/>
      <c r="K247" s="2627"/>
      <c r="S247" s="314"/>
    </row>
    <row r="248" spans="3:19" ht="13.35" customHeight="1">
      <c r="C248" s="1097"/>
      <c r="K248" s="2627"/>
      <c r="S248" s="314"/>
    </row>
    <row r="249" spans="3:19" ht="13.35" customHeight="1">
      <c r="C249" s="1097"/>
      <c r="K249" s="2627"/>
      <c r="S249" s="314"/>
    </row>
    <row r="250" spans="3:19" ht="13.35" customHeight="1">
      <c r="C250" s="1097"/>
      <c r="K250" s="2627"/>
      <c r="S250" s="314"/>
    </row>
    <row r="251" spans="3:19" ht="13.35" customHeight="1">
      <c r="C251" s="1097"/>
      <c r="K251" s="2627"/>
      <c r="S251" s="314"/>
    </row>
    <row r="252" spans="3:19" ht="13.35" customHeight="1">
      <c r="C252" s="1097"/>
      <c r="K252" s="2627"/>
      <c r="S252" s="314"/>
    </row>
    <row r="253" spans="3:19" ht="13.35" customHeight="1">
      <c r="C253" s="1097"/>
      <c r="K253" s="2627"/>
      <c r="S253" s="314"/>
    </row>
    <row r="254" spans="3:19" ht="13.35" customHeight="1">
      <c r="C254" s="1097"/>
      <c r="K254" s="2627"/>
      <c r="S254" s="314"/>
    </row>
    <row r="255" spans="3:19" ht="13.35" customHeight="1">
      <c r="C255" s="1097"/>
      <c r="K255" s="2627"/>
      <c r="S255" s="314"/>
    </row>
    <row r="256" spans="3:19" ht="13.35" customHeight="1">
      <c r="C256" s="1097"/>
      <c r="K256" s="2627"/>
      <c r="S256" s="314"/>
    </row>
    <row r="257" spans="3:19" ht="13.35" customHeight="1">
      <c r="C257" s="1097"/>
      <c r="K257" s="2627"/>
      <c r="S257" s="314"/>
    </row>
    <row r="258" spans="3:19" ht="13.35" customHeight="1">
      <c r="C258" s="1097"/>
      <c r="K258" s="2627"/>
      <c r="S258" s="314"/>
    </row>
    <row r="259" spans="3:19" ht="13.35" customHeight="1">
      <c r="C259" s="1097"/>
      <c r="K259" s="2627"/>
      <c r="S259" s="314"/>
    </row>
    <row r="260" spans="3:19" ht="13.35" customHeight="1">
      <c r="C260" s="1097"/>
      <c r="K260" s="2627"/>
      <c r="S260" s="314"/>
    </row>
    <row r="261" spans="3:19" ht="13.35" customHeight="1">
      <c r="C261" s="1097"/>
      <c r="K261" s="2627"/>
      <c r="S261" s="314"/>
    </row>
    <row r="262" spans="3:19" ht="13.35" customHeight="1">
      <c r="C262" s="1097"/>
      <c r="K262" s="2627"/>
      <c r="S262" s="314"/>
    </row>
    <row r="263" spans="3:19" ht="13.35" customHeight="1">
      <c r="C263" s="1097"/>
      <c r="K263" s="2627"/>
      <c r="S263" s="314"/>
    </row>
    <row r="264" spans="3:19" ht="13.35" customHeight="1">
      <c r="C264" s="1097"/>
      <c r="K264" s="2627"/>
      <c r="S264" s="314"/>
    </row>
    <row r="265" spans="3:19" ht="13.35" customHeight="1">
      <c r="C265" s="1097"/>
      <c r="K265" s="2627"/>
      <c r="S265" s="314"/>
    </row>
    <row r="266" spans="3:19" ht="13.35" customHeight="1">
      <c r="C266" s="1097"/>
      <c r="K266" s="2627"/>
      <c r="S266" s="314"/>
    </row>
    <row r="267" spans="3:19" ht="13.35" customHeight="1">
      <c r="C267" s="1097" t="s">
        <v>3016</v>
      </c>
      <c r="K267" s="2627"/>
      <c r="S267" s="314"/>
    </row>
    <row r="268" spans="3:19" ht="13.35" customHeight="1">
      <c r="C268" s="1097"/>
      <c r="K268" s="2627"/>
      <c r="S268" s="314"/>
    </row>
    <row r="269" spans="3:19" ht="13.35" customHeight="1">
      <c r="C269" s="1097"/>
      <c r="K269" s="2627"/>
      <c r="S269" s="314"/>
    </row>
    <row r="270" spans="3:19" ht="13.35" customHeight="1">
      <c r="C270" s="1097"/>
      <c r="K270" s="2627"/>
      <c r="S270" s="314"/>
    </row>
    <row r="271" spans="3:19" ht="13.35" customHeight="1">
      <c r="C271" s="1097"/>
      <c r="K271" s="2627"/>
      <c r="S271" s="314"/>
    </row>
    <row r="272" spans="3:19" ht="13.35" customHeight="1">
      <c r="C272" s="1097"/>
      <c r="K272" s="2627"/>
      <c r="S272" s="314"/>
    </row>
    <row r="273" spans="3:19" ht="13.35" customHeight="1">
      <c r="C273" s="1097"/>
      <c r="K273" s="2627"/>
      <c r="S273" s="314"/>
    </row>
    <row r="274" spans="3:19" ht="13.35" customHeight="1">
      <c r="C274" s="1097"/>
      <c r="K274" s="2627"/>
      <c r="S274" s="314"/>
    </row>
    <row r="275" spans="3:19" ht="13.35" customHeight="1">
      <c r="C275" s="1097"/>
      <c r="K275" s="2627"/>
      <c r="S275" s="314"/>
    </row>
    <row r="276" spans="3:19" ht="13.35" customHeight="1">
      <c r="C276" s="1097"/>
      <c r="K276" s="2627"/>
      <c r="S276" s="314"/>
    </row>
    <row r="277" spans="3:19" ht="13.35" customHeight="1">
      <c r="C277" s="1097"/>
      <c r="K277" s="2627"/>
      <c r="S277" s="314"/>
    </row>
    <row r="278" spans="3:19" ht="13.35" customHeight="1">
      <c r="C278" s="1097"/>
      <c r="K278" s="2627"/>
      <c r="S278" s="314"/>
    </row>
    <row r="279" spans="3:19" ht="13.35" customHeight="1">
      <c r="C279" s="1097"/>
      <c r="K279" s="2627"/>
      <c r="S279" s="314"/>
    </row>
    <row r="280" spans="3:19" ht="13.35" customHeight="1">
      <c r="C280" s="1097"/>
      <c r="K280" s="2627"/>
      <c r="S280" s="314"/>
    </row>
    <row r="281" spans="3:19" ht="13.35" customHeight="1">
      <c r="C281" s="1097"/>
      <c r="K281" s="2627"/>
      <c r="S281" s="314"/>
    </row>
    <row r="282" spans="3:19" ht="13.35" customHeight="1">
      <c r="C282" s="1097"/>
      <c r="K282" s="2627"/>
      <c r="S282" s="314"/>
    </row>
    <row r="283" spans="3:19" ht="13.35" customHeight="1">
      <c r="C283" s="1097"/>
      <c r="K283" s="2627"/>
      <c r="S283" s="314"/>
    </row>
    <row r="284" spans="3:19" ht="13.35" customHeight="1">
      <c r="C284" s="1097"/>
      <c r="K284" s="2627"/>
      <c r="S284" s="314"/>
    </row>
    <row r="285" spans="3:19" ht="13.35" customHeight="1">
      <c r="C285" s="1097"/>
      <c r="K285" s="2627"/>
      <c r="S285" s="314"/>
    </row>
    <row r="286" spans="3:19" ht="13.35" customHeight="1">
      <c r="C286" s="1097"/>
      <c r="K286" s="2627"/>
      <c r="S286" s="314"/>
    </row>
    <row r="287" spans="3:19" ht="13.35" customHeight="1">
      <c r="C287" s="1097"/>
      <c r="K287" s="2627"/>
      <c r="S287" s="314"/>
    </row>
    <row r="288" spans="3:19" ht="13.35" customHeight="1">
      <c r="C288" s="1097"/>
      <c r="K288" s="2627"/>
      <c r="S288" s="314"/>
    </row>
    <row r="289" spans="3:19" ht="13.35" customHeight="1">
      <c r="C289" s="1097"/>
      <c r="K289" s="2627"/>
      <c r="S289" s="314"/>
    </row>
    <row r="290" spans="3:19" ht="13.35" customHeight="1">
      <c r="C290" s="1097"/>
      <c r="K290" s="2627"/>
      <c r="S290" s="314"/>
    </row>
    <row r="291" spans="3:19" ht="13.35" customHeight="1">
      <c r="C291" s="1097"/>
      <c r="K291" s="2627"/>
      <c r="S291" s="314"/>
    </row>
    <row r="292" spans="3:19" ht="13.35" customHeight="1">
      <c r="C292" s="1097"/>
      <c r="K292" s="2627"/>
      <c r="S292" s="314"/>
    </row>
    <row r="293" spans="3:19" ht="13.35" customHeight="1">
      <c r="C293" s="1097"/>
      <c r="K293" s="2627"/>
      <c r="S293" s="314"/>
    </row>
    <row r="294" spans="3:19" ht="13.35" customHeight="1">
      <c r="C294" s="1097"/>
      <c r="K294" s="2627"/>
      <c r="S294" s="314"/>
    </row>
    <row r="295" spans="3:19" ht="13.35" customHeight="1">
      <c r="C295" s="1097"/>
      <c r="K295" s="2627"/>
      <c r="S295" s="314"/>
    </row>
    <row r="296" spans="3:19" ht="13.35" customHeight="1">
      <c r="C296" s="1097"/>
      <c r="K296" s="2627"/>
      <c r="S296" s="314"/>
    </row>
    <row r="297" spans="3:19" ht="13.35" customHeight="1">
      <c r="C297" s="1097"/>
      <c r="K297" s="2627"/>
      <c r="S297" s="314"/>
    </row>
    <row r="298" spans="3:19" ht="13.35" customHeight="1">
      <c r="C298" s="1097"/>
      <c r="K298" s="2627"/>
      <c r="S298" s="314"/>
    </row>
    <row r="299" spans="3:19" ht="13.35" customHeight="1">
      <c r="C299" s="1097"/>
      <c r="K299" s="2627"/>
      <c r="S299" s="314"/>
    </row>
    <row r="300" spans="3:19" ht="13.35" customHeight="1">
      <c r="C300" s="1097"/>
      <c r="K300" s="2627"/>
      <c r="S300" s="314"/>
    </row>
    <row r="301" spans="3:19" ht="13.35" customHeight="1">
      <c r="C301" s="1097"/>
      <c r="K301" s="2627"/>
      <c r="S301" s="314"/>
    </row>
    <row r="302" spans="3:19" ht="13.35" customHeight="1">
      <c r="C302" s="1097"/>
      <c r="K302" s="2627"/>
      <c r="S302" s="314"/>
    </row>
    <row r="303" spans="3:19" ht="13.35" customHeight="1">
      <c r="C303" s="1097"/>
      <c r="K303" s="2627"/>
      <c r="S303" s="314"/>
    </row>
    <row r="304" spans="3:19" ht="13.35" customHeight="1">
      <c r="C304" s="1097"/>
      <c r="K304" s="2627"/>
      <c r="S304" s="314"/>
    </row>
    <row r="305" spans="3:19" ht="13.35" customHeight="1">
      <c r="C305" s="1097"/>
      <c r="K305" s="2627"/>
      <c r="S305" s="314"/>
    </row>
    <row r="306" spans="3:19" ht="13.35" customHeight="1">
      <c r="C306" s="1097"/>
      <c r="K306" s="2627"/>
      <c r="S306" s="314"/>
    </row>
    <row r="307" spans="3:19" ht="13.35" customHeight="1">
      <c r="C307" s="1097"/>
      <c r="K307" s="2627"/>
      <c r="S307" s="314"/>
    </row>
    <row r="308" spans="3:19" ht="13.35" customHeight="1">
      <c r="C308" s="1097"/>
      <c r="K308" s="2627"/>
      <c r="S308" s="314"/>
    </row>
    <row r="309" spans="3:19" ht="13.35" customHeight="1">
      <c r="C309" s="1097"/>
      <c r="K309" s="2627"/>
      <c r="S309" s="314"/>
    </row>
    <row r="310" spans="3:19" ht="13.35" customHeight="1">
      <c r="C310" s="1097"/>
      <c r="K310" s="2627"/>
      <c r="S310" s="314"/>
    </row>
    <row r="311" spans="3:19" ht="13.35" customHeight="1">
      <c r="C311" s="1097"/>
      <c r="K311" s="2627"/>
      <c r="S311" s="314"/>
    </row>
    <row r="312" spans="3:19" ht="13.35" customHeight="1">
      <c r="C312" s="1097"/>
      <c r="K312" s="2627"/>
      <c r="S312" s="314"/>
    </row>
    <row r="313" spans="3:19" ht="13.35" customHeight="1">
      <c r="C313" s="1097"/>
      <c r="K313" s="2627"/>
      <c r="S313" s="314"/>
    </row>
    <row r="314" spans="3:19" ht="13.35" customHeight="1">
      <c r="C314" s="1097"/>
      <c r="K314" s="2627"/>
      <c r="S314" s="314"/>
    </row>
    <row r="315" spans="3:19" ht="13.35" customHeight="1">
      <c r="C315" s="1097"/>
      <c r="K315" s="2627"/>
      <c r="S315" s="314"/>
    </row>
    <row r="316" spans="3:19" ht="13.35" customHeight="1">
      <c r="C316" s="1097"/>
      <c r="K316" s="2627"/>
      <c r="S316" s="314"/>
    </row>
    <row r="317" spans="3:19" ht="13.35" customHeight="1">
      <c r="C317" s="1097"/>
      <c r="K317" s="2627"/>
      <c r="S317" s="314"/>
    </row>
    <row r="318" spans="3:19" ht="13.35" customHeight="1">
      <c r="C318" s="1097"/>
      <c r="K318" s="2627"/>
      <c r="S318" s="314"/>
    </row>
    <row r="319" spans="3:19" ht="13.35" customHeight="1">
      <c r="C319" s="1097"/>
      <c r="K319" s="2627"/>
      <c r="S319" s="314"/>
    </row>
    <row r="320" spans="3:19" ht="13.35" customHeight="1">
      <c r="C320" s="1097"/>
      <c r="K320" s="2627"/>
      <c r="S320" s="314"/>
    </row>
    <row r="321" spans="3:19" ht="13.35" customHeight="1">
      <c r="C321" s="1097"/>
      <c r="K321" s="2627"/>
      <c r="S321" s="314"/>
    </row>
    <row r="322" spans="3:19" ht="13.35" customHeight="1">
      <c r="C322" s="1097"/>
      <c r="K322" s="2627"/>
      <c r="S322" s="314"/>
    </row>
    <row r="323" spans="3:19" ht="13.35" customHeight="1">
      <c r="C323" s="1097"/>
      <c r="K323" s="2627"/>
      <c r="S323" s="314"/>
    </row>
    <row r="324" spans="3:19" ht="13.35" customHeight="1">
      <c r="C324" s="1097"/>
      <c r="K324" s="2627"/>
      <c r="S324" s="314"/>
    </row>
    <row r="325" spans="3:19" ht="13.35" customHeight="1">
      <c r="C325" s="1097"/>
      <c r="K325" s="2627"/>
      <c r="S325" s="314"/>
    </row>
    <row r="326" spans="3:19" ht="13.35" customHeight="1">
      <c r="C326" s="1097"/>
      <c r="K326" s="2627"/>
      <c r="S326" s="314"/>
    </row>
    <row r="327" spans="3:19" ht="13.35" customHeight="1">
      <c r="C327" s="1097"/>
      <c r="K327" s="2627"/>
      <c r="S327" s="314"/>
    </row>
    <row r="328" spans="3:19" ht="13.35" customHeight="1">
      <c r="C328" s="1097"/>
      <c r="K328" s="2627"/>
      <c r="S328" s="314"/>
    </row>
    <row r="329" spans="3:19" ht="13.35" customHeight="1">
      <c r="C329" s="1097"/>
      <c r="K329" s="2627"/>
      <c r="S329" s="314"/>
    </row>
    <row r="330" spans="3:19" ht="13.35" customHeight="1">
      <c r="C330" s="1097"/>
      <c r="K330" s="2627"/>
      <c r="S330" s="314"/>
    </row>
    <row r="331" spans="3:19" ht="13.35" customHeight="1">
      <c r="C331" s="1097"/>
      <c r="K331" s="2627"/>
      <c r="S331" s="314"/>
    </row>
    <row r="332" spans="3:19" ht="13.35" customHeight="1">
      <c r="C332" s="1097"/>
      <c r="K332" s="2627"/>
      <c r="S332" s="314"/>
    </row>
    <row r="333" spans="3:19" ht="13.35" customHeight="1">
      <c r="C333" s="1097"/>
      <c r="K333" s="2627"/>
      <c r="S333" s="314"/>
    </row>
    <row r="334" spans="3:19" ht="13.35" customHeight="1">
      <c r="C334" s="1097"/>
      <c r="K334" s="2627"/>
      <c r="S334" s="314"/>
    </row>
    <row r="335" spans="3:19" ht="13.35" customHeight="1">
      <c r="C335" s="1097"/>
      <c r="K335" s="2627"/>
      <c r="S335" s="314"/>
    </row>
    <row r="336" spans="3:19" ht="13.35" customHeight="1">
      <c r="C336" s="1097"/>
      <c r="K336" s="2627"/>
      <c r="S336" s="314"/>
    </row>
    <row r="337" spans="3:19" ht="13.35" customHeight="1">
      <c r="C337" s="1097"/>
      <c r="K337" s="2627"/>
      <c r="S337" s="314"/>
    </row>
    <row r="338" spans="3:19" ht="13.35" customHeight="1">
      <c r="C338" s="1097"/>
      <c r="K338" s="2627"/>
      <c r="S338" s="314"/>
    </row>
    <row r="339" spans="3:19" ht="13.35" customHeight="1">
      <c r="C339" s="1097"/>
      <c r="K339" s="2627"/>
      <c r="S339" s="314"/>
    </row>
    <row r="340" spans="3:19" ht="13.35" customHeight="1">
      <c r="C340" s="1097"/>
      <c r="K340" s="2627"/>
      <c r="S340" s="314"/>
    </row>
    <row r="341" spans="3:19" ht="13.35" customHeight="1">
      <c r="C341" s="1097"/>
      <c r="K341" s="2627"/>
      <c r="S341" s="314"/>
    </row>
    <row r="342" spans="3:19" ht="13.35" customHeight="1">
      <c r="C342" s="1097"/>
      <c r="K342" s="2627"/>
      <c r="S342" s="314"/>
    </row>
    <row r="343" spans="3:19" ht="13.35" customHeight="1">
      <c r="C343" s="1097"/>
      <c r="K343" s="2627"/>
      <c r="S343" s="314"/>
    </row>
    <row r="344" spans="3:19" ht="13.35" customHeight="1">
      <c r="C344" s="1097"/>
      <c r="K344" s="2627"/>
      <c r="S344" s="314"/>
    </row>
    <row r="345" spans="3:19" ht="13.35" customHeight="1">
      <c r="C345" s="1097"/>
      <c r="K345" s="2627"/>
      <c r="S345" s="314"/>
    </row>
    <row r="346" spans="3:19" ht="13.35" customHeight="1">
      <c r="C346" s="1097" t="s">
        <v>3016</v>
      </c>
      <c r="K346" s="2627"/>
      <c r="S346" s="314"/>
    </row>
    <row r="347" spans="3:19" ht="13.35" customHeight="1">
      <c r="C347" s="1097"/>
      <c r="K347" s="2627"/>
      <c r="S347" s="314"/>
    </row>
    <row r="348" spans="3:19" ht="13.35" customHeight="1">
      <c r="C348" s="1097"/>
      <c r="K348" s="2627"/>
      <c r="S348" s="314"/>
    </row>
    <row r="349" spans="3:19" ht="13.35" customHeight="1">
      <c r="C349" s="1097"/>
      <c r="K349" s="2627"/>
      <c r="S349" s="314"/>
    </row>
    <row r="350" spans="3:19" ht="13.35" customHeight="1">
      <c r="C350" s="1097"/>
      <c r="K350" s="2627"/>
      <c r="S350" s="314"/>
    </row>
    <row r="351" spans="3:19" ht="13.35" customHeight="1">
      <c r="C351" s="1097"/>
      <c r="K351" s="2627"/>
      <c r="S351" s="314"/>
    </row>
    <row r="352" spans="3:19" ht="13.35" customHeight="1">
      <c r="C352" s="1097"/>
      <c r="K352" s="2627"/>
      <c r="S352" s="314"/>
    </row>
    <row r="353" spans="3:19" ht="13.35" customHeight="1">
      <c r="C353" s="1097"/>
      <c r="K353" s="2627"/>
      <c r="S353" s="314"/>
    </row>
    <row r="354" spans="3:19" ht="13.35" customHeight="1">
      <c r="C354" s="1097"/>
      <c r="K354" s="2627"/>
      <c r="S354" s="314"/>
    </row>
    <row r="355" spans="3:19" ht="13.35" customHeight="1">
      <c r="C355" s="1097"/>
      <c r="K355" s="2627"/>
      <c r="S355" s="314"/>
    </row>
    <row r="356" spans="3:19" ht="13.35" customHeight="1">
      <c r="C356" s="1097"/>
      <c r="K356" s="2627"/>
      <c r="S356" s="314"/>
    </row>
    <row r="357" spans="3:19" ht="13.35" customHeight="1">
      <c r="C357" s="1097"/>
      <c r="K357" s="2627"/>
      <c r="S357" s="314"/>
    </row>
    <row r="358" spans="3:19" ht="13.35" customHeight="1">
      <c r="C358" s="1097"/>
      <c r="K358" s="2627"/>
      <c r="S358" s="314"/>
    </row>
    <row r="359" spans="3:19" ht="13.35" customHeight="1">
      <c r="C359" s="1097"/>
      <c r="K359" s="2627"/>
      <c r="S359" s="314"/>
    </row>
    <row r="360" spans="3:19" ht="13.35" customHeight="1">
      <c r="C360" s="1097"/>
      <c r="K360" s="2627"/>
      <c r="S360" s="314"/>
    </row>
    <row r="361" spans="3:19" ht="13.35" customHeight="1">
      <c r="C361" s="1097"/>
      <c r="K361" s="2627"/>
      <c r="S361" s="314"/>
    </row>
    <row r="362" spans="3:19" ht="13.35" customHeight="1">
      <c r="C362" s="1097"/>
      <c r="K362" s="2627"/>
      <c r="S362" s="314"/>
    </row>
    <row r="363" spans="3:19" ht="13.35" customHeight="1">
      <c r="C363" s="1097"/>
      <c r="K363" s="2627"/>
      <c r="S363" s="314"/>
    </row>
    <row r="364" spans="3:19" ht="13.35" customHeight="1">
      <c r="C364" s="1097"/>
      <c r="K364" s="2627"/>
      <c r="S364" s="314"/>
    </row>
    <row r="365" spans="3:19" ht="13.35" customHeight="1">
      <c r="C365" s="1097"/>
      <c r="K365" s="2627"/>
      <c r="S365" s="314"/>
    </row>
    <row r="366" spans="3:19" ht="13.35" customHeight="1">
      <c r="C366" s="1097"/>
      <c r="K366" s="2627"/>
      <c r="S366" s="314"/>
    </row>
    <row r="367" spans="3:19" ht="13.35" customHeight="1">
      <c r="C367" s="1097"/>
      <c r="K367" s="2627"/>
      <c r="S367" s="314"/>
    </row>
    <row r="368" spans="3:19" ht="13.35" customHeight="1">
      <c r="C368" s="1097"/>
      <c r="K368" s="2627"/>
      <c r="S368" s="314"/>
    </row>
    <row r="369" spans="3:19" ht="13.35" customHeight="1">
      <c r="C369" s="1097"/>
      <c r="K369" s="2627"/>
      <c r="S369" s="314"/>
    </row>
    <row r="370" spans="3:19" ht="13.35" customHeight="1">
      <c r="C370" s="1097"/>
      <c r="K370" s="2627"/>
      <c r="S370" s="314"/>
    </row>
    <row r="371" spans="3:19" ht="13.35" customHeight="1">
      <c r="C371" s="1097"/>
      <c r="K371" s="2627"/>
      <c r="S371" s="314"/>
    </row>
    <row r="372" spans="3:19" ht="13.35" customHeight="1">
      <c r="C372" s="1097"/>
      <c r="K372" s="2627"/>
      <c r="S372" s="314"/>
    </row>
    <row r="373" spans="3:19" ht="13.35" customHeight="1">
      <c r="C373" s="1097"/>
      <c r="K373" s="2627"/>
      <c r="S373" s="314"/>
    </row>
    <row r="374" spans="3:19" ht="13.35" customHeight="1">
      <c r="C374" s="1097"/>
      <c r="K374" s="2627"/>
      <c r="S374" s="314"/>
    </row>
    <row r="375" spans="3:19" ht="13.35" customHeight="1">
      <c r="C375" s="1097"/>
      <c r="K375" s="2627"/>
      <c r="S375" s="314"/>
    </row>
    <row r="376" spans="3:19" ht="13.35" customHeight="1">
      <c r="C376" s="1097"/>
      <c r="K376" s="2627"/>
      <c r="S376" s="314"/>
    </row>
    <row r="377" spans="3:19" ht="13.35" customHeight="1">
      <c r="C377" s="1097"/>
      <c r="K377" s="2627"/>
      <c r="S377" s="314"/>
    </row>
    <row r="378" spans="3:19" ht="13.35" customHeight="1">
      <c r="C378" s="1097"/>
      <c r="K378" s="2627"/>
      <c r="S378" s="314"/>
    </row>
    <row r="379" spans="3:19" ht="13.35" customHeight="1">
      <c r="C379" s="1097"/>
      <c r="K379" s="2627"/>
      <c r="S379" s="314"/>
    </row>
    <row r="380" spans="3:19" ht="13.35" customHeight="1">
      <c r="C380" s="1097"/>
      <c r="K380" s="2627"/>
      <c r="S380" s="314"/>
    </row>
    <row r="381" spans="3:19" ht="13.35" customHeight="1">
      <c r="C381" s="1097"/>
      <c r="K381" s="2627"/>
      <c r="S381" s="314"/>
    </row>
    <row r="382" spans="3:19" ht="13.35" customHeight="1">
      <c r="C382" s="1097"/>
      <c r="K382" s="2627"/>
      <c r="S382" s="314"/>
    </row>
    <row r="383" spans="3:19" ht="13.35" customHeight="1">
      <c r="C383" s="1097"/>
      <c r="K383" s="2627"/>
      <c r="S383" s="314"/>
    </row>
    <row r="384" spans="3:19" ht="13.35" customHeight="1">
      <c r="C384" s="1097"/>
      <c r="K384" s="2627"/>
      <c r="S384" s="314"/>
    </row>
    <row r="385" spans="3:19" ht="13.35" customHeight="1">
      <c r="C385" s="1097"/>
      <c r="K385" s="2627"/>
      <c r="S385" s="314"/>
    </row>
    <row r="386" spans="3:19" ht="13.35" customHeight="1">
      <c r="C386" s="1097"/>
      <c r="K386" s="2627"/>
      <c r="S386" s="314"/>
    </row>
    <row r="387" spans="3:19" ht="13.35" customHeight="1">
      <c r="C387" s="1097"/>
      <c r="K387" s="2627"/>
      <c r="S387" s="314"/>
    </row>
    <row r="388" spans="3:19" ht="13.35" customHeight="1">
      <c r="C388" s="1097"/>
      <c r="K388" s="2627"/>
      <c r="S388" s="314"/>
    </row>
    <row r="389" spans="3:19" ht="13.35" customHeight="1">
      <c r="C389" s="1097"/>
      <c r="K389" s="2627"/>
      <c r="S389" s="314"/>
    </row>
    <row r="390" spans="3:19" ht="13.35" customHeight="1">
      <c r="C390" s="1097"/>
      <c r="K390" s="2627"/>
      <c r="S390" s="314"/>
    </row>
    <row r="391" spans="3:19" ht="13.35" customHeight="1">
      <c r="C391" s="1097"/>
      <c r="K391" s="2627"/>
      <c r="S391" s="314"/>
    </row>
    <row r="392" spans="3:19" ht="13.35" customHeight="1">
      <c r="C392" s="1097"/>
      <c r="K392" s="2627"/>
      <c r="S392" s="314"/>
    </row>
    <row r="393" spans="3:19" ht="13.35" customHeight="1">
      <c r="C393" s="1097"/>
      <c r="K393" s="2627"/>
      <c r="S393" s="314"/>
    </row>
    <row r="394" spans="3:19" ht="13.35" customHeight="1">
      <c r="C394" s="1097"/>
      <c r="K394" s="2627"/>
      <c r="S394" s="314"/>
    </row>
    <row r="395" spans="3:19" ht="13.35" customHeight="1">
      <c r="C395" s="1097"/>
      <c r="K395" s="2627"/>
      <c r="S395" s="314"/>
    </row>
    <row r="396" spans="3:19" ht="13.35" customHeight="1">
      <c r="C396" s="1097"/>
      <c r="K396" s="2627"/>
      <c r="S396" s="314"/>
    </row>
    <row r="397" spans="3:19" ht="13.35" customHeight="1">
      <c r="C397" s="1097"/>
      <c r="K397" s="2627"/>
      <c r="S397" s="314"/>
    </row>
    <row r="398" spans="3:19" ht="13.35" customHeight="1">
      <c r="C398" s="1097"/>
      <c r="K398" s="2627"/>
      <c r="S398" s="314"/>
    </row>
    <row r="399" spans="3:19" ht="13.35" customHeight="1">
      <c r="C399" s="1097"/>
      <c r="K399" s="2627"/>
      <c r="S399" s="314"/>
    </row>
    <row r="400" spans="3:19" ht="13.35" customHeight="1">
      <c r="C400" s="1097"/>
      <c r="K400" s="2627"/>
      <c r="S400" s="314"/>
    </row>
    <row r="401" spans="3:19" ht="13.35" customHeight="1">
      <c r="C401" s="1097"/>
      <c r="K401" s="2627"/>
      <c r="S401" s="314"/>
    </row>
    <row r="402" spans="3:19" ht="13.35" customHeight="1">
      <c r="C402" s="1097"/>
      <c r="K402" s="2627"/>
      <c r="S402" s="314"/>
    </row>
    <row r="403" spans="3:19" ht="13.35" customHeight="1">
      <c r="C403" s="1097"/>
      <c r="K403" s="2627"/>
      <c r="S403" s="314"/>
    </row>
    <row r="404" spans="3:19" ht="13.35" customHeight="1">
      <c r="C404" s="1097"/>
      <c r="K404" s="2627"/>
      <c r="S404" s="314"/>
    </row>
    <row r="405" spans="3:19" ht="13.35" customHeight="1">
      <c r="C405" s="1097"/>
      <c r="K405" s="2627"/>
      <c r="S405" s="314"/>
    </row>
    <row r="406" spans="3:19" ht="13.35" customHeight="1">
      <c r="C406" s="1097"/>
      <c r="K406" s="2627"/>
      <c r="S406" s="314"/>
    </row>
    <row r="407" spans="3:19" ht="13.35" customHeight="1">
      <c r="C407" s="1097"/>
      <c r="K407" s="2627"/>
      <c r="S407" s="314"/>
    </row>
    <row r="408" spans="3:19" ht="13.35" customHeight="1">
      <c r="C408" s="1097"/>
      <c r="K408" s="2627"/>
      <c r="S408" s="314"/>
    </row>
    <row r="409" spans="3:19" ht="13.35" customHeight="1">
      <c r="C409" s="1097"/>
      <c r="K409" s="2627"/>
      <c r="S409" s="314"/>
    </row>
    <row r="410" spans="3:19" ht="13.35" customHeight="1">
      <c r="C410" s="1097"/>
      <c r="K410" s="2627"/>
      <c r="S410" s="314"/>
    </row>
    <row r="411" spans="3:19" ht="13.35" customHeight="1">
      <c r="C411" s="1097"/>
      <c r="K411" s="2627"/>
      <c r="S411" s="314"/>
    </row>
    <row r="412" spans="3:19" ht="13.35" customHeight="1">
      <c r="C412" s="1097"/>
      <c r="K412" s="2627"/>
      <c r="S412" s="314"/>
    </row>
    <row r="413" spans="3:19" ht="13.35" customHeight="1">
      <c r="C413" s="1097"/>
      <c r="K413" s="2627"/>
      <c r="S413" s="314"/>
    </row>
    <row r="414" spans="3:19" ht="13.35" customHeight="1">
      <c r="C414" s="1097"/>
      <c r="K414" s="2627"/>
      <c r="S414" s="314"/>
    </row>
    <row r="415" spans="3:19" ht="13.35" customHeight="1">
      <c r="C415" s="1097"/>
      <c r="K415" s="2627"/>
      <c r="S415" s="314"/>
    </row>
    <row r="416" spans="3:19" ht="13.35" customHeight="1">
      <c r="C416" s="1097"/>
      <c r="K416" s="2627"/>
      <c r="S416" s="314"/>
    </row>
    <row r="417" spans="3:19" ht="13.35" customHeight="1">
      <c r="C417" s="1097"/>
      <c r="K417" s="2627"/>
      <c r="S417" s="314"/>
    </row>
    <row r="418" spans="3:19" ht="13.35" customHeight="1">
      <c r="C418" s="1097"/>
      <c r="K418" s="2627"/>
      <c r="S418" s="314"/>
    </row>
    <row r="419" spans="3:19" ht="13.35" customHeight="1">
      <c r="C419" s="1097"/>
      <c r="K419" s="2627"/>
      <c r="S419" s="314"/>
    </row>
    <row r="420" spans="3:19" ht="13.35" customHeight="1">
      <c r="C420" s="1097"/>
      <c r="K420" s="2627"/>
      <c r="S420" s="314"/>
    </row>
    <row r="421" spans="3:19" ht="13.35" customHeight="1">
      <c r="C421" s="1097"/>
      <c r="K421" s="2627"/>
      <c r="S421" s="314"/>
    </row>
    <row r="422" spans="3:19" ht="13.35" customHeight="1">
      <c r="C422" s="1097"/>
      <c r="K422" s="2627"/>
      <c r="S422" s="314"/>
    </row>
    <row r="423" spans="3:19" ht="13.35" customHeight="1">
      <c r="C423" s="1097"/>
      <c r="K423" s="2627"/>
      <c r="S423" s="314"/>
    </row>
    <row r="424" spans="3:19" ht="13.35" customHeight="1">
      <c r="C424" s="1097"/>
      <c r="K424" s="2627"/>
      <c r="S424" s="314"/>
    </row>
    <row r="425" spans="3:19" ht="13.35" customHeight="1">
      <c r="C425" s="1097" t="s">
        <v>3016</v>
      </c>
      <c r="K425" s="2627"/>
      <c r="S425" s="314"/>
    </row>
    <row r="426" spans="3:19" ht="13.35" customHeight="1">
      <c r="C426" s="1097"/>
      <c r="K426" s="2627"/>
      <c r="S426" s="314"/>
    </row>
    <row r="427" spans="3:19" ht="13.35" customHeight="1">
      <c r="C427" s="1097"/>
      <c r="K427" s="2627"/>
      <c r="S427" s="314"/>
    </row>
    <row r="428" spans="3:19" ht="13.3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95"/>
  <cols>
    <col min="1" max="1" width="1.7109375" customWidth="1"/>
    <col min="2" max="2" width="5.28515625" customWidth="1"/>
    <col min="3" max="3" width="9.7109375" customWidth="1"/>
    <col min="4" max="6" width="7.7109375" customWidth="1"/>
    <col min="7" max="7" width="10.7109375" customWidth="1"/>
    <col min="8" max="8" width="7.7109375" customWidth="1"/>
    <col min="9" max="9" width="17.42578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5" customHeight="1">
      <c r="A2" s="4720" t="s">
        <v>3503</v>
      </c>
      <c r="B2" s="4721"/>
      <c r="C2" s="4721"/>
      <c r="D2" s="4721"/>
      <c r="E2" s="4721"/>
      <c r="F2" s="4721"/>
      <c r="G2" s="4721"/>
      <c r="H2" s="4721"/>
      <c r="I2" s="4721"/>
      <c r="J2" s="4721"/>
      <c r="K2" s="4721"/>
      <c r="L2" s="4721"/>
      <c r="M2" s="4721"/>
      <c r="N2" s="4721"/>
      <c r="O2" s="4721"/>
      <c r="P2" s="4721"/>
      <c r="Q2" s="4721"/>
      <c r="R2" s="4722"/>
      <c r="S2" s="2511"/>
      <c r="T2" s="2511"/>
      <c r="U2" s="2511"/>
      <c r="AA2" s="40"/>
      <c r="AB2" s="40"/>
    </row>
    <row r="3" spans="1:28" s="96" customFormat="1" ht="4.5"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3504</v>
      </c>
      <c r="B4" s="137"/>
      <c r="C4" s="137"/>
      <c r="D4" s="2511"/>
      <c r="E4" s="2511"/>
      <c r="F4" s="137" t="s">
        <v>3505</v>
      </c>
      <c r="G4" s="137"/>
      <c r="H4" s="2511"/>
      <c r="I4" s="2511"/>
      <c r="J4" s="137" t="s">
        <v>3506</v>
      </c>
      <c r="K4" s="137"/>
      <c r="L4" s="137"/>
      <c r="M4" s="137"/>
      <c r="N4" s="137"/>
      <c r="O4" s="137"/>
      <c r="P4" s="2511"/>
      <c r="Q4" s="99" t="s">
        <v>3172</v>
      </c>
      <c r="R4" s="99" t="s">
        <v>3174</v>
      </c>
      <c r="S4" s="2511"/>
      <c r="T4" s="2511"/>
      <c r="U4" s="2511"/>
      <c r="W4" s="140"/>
      <c r="X4" s="140"/>
      <c r="Y4" s="140"/>
      <c r="Z4" s="140"/>
      <c r="AA4" s="40"/>
      <c r="AB4" s="40"/>
    </row>
    <row r="5" spans="1:28" s="96" customFormat="1" ht="4.5"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1.1"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1.1" customHeight="1">
      <c r="A7" s="141" t="s">
        <v>3507</v>
      </c>
      <c r="B7" s="137"/>
      <c r="C7" s="98"/>
      <c r="D7" s="98"/>
      <c r="E7" s="2511"/>
      <c r="F7" s="98" t="s">
        <v>3508</v>
      </c>
      <c r="G7" s="98"/>
      <c r="H7" s="2511"/>
      <c r="I7" s="2511"/>
      <c r="J7" s="98" t="s">
        <v>3509</v>
      </c>
      <c r="K7" s="98"/>
      <c r="L7" s="98" t="s">
        <v>3510</v>
      </c>
      <c r="M7" s="98"/>
      <c r="N7" s="98"/>
      <c r="O7" s="98"/>
      <c r="P7" s="2511"/>
      <c r="Q7" s="856">
        <v>0</v>
      </c>
      <c r="R7" s="2636">
        <v>4</v>
      </c>
      <c r="S7" s="2511"/>
      <c r="T7" s="2511"/>
      <c r="U7" s="2511"/>
      <c r="W7" s="140"/>
      <c r="X7" s="140"/>
      <c r="Y7" s="140"/>
      <c r="Z7" s="140"/>
      <c r="AA7" s="40"/>
      <c r="AB7" s="40"/>
    </row>
    <row r="8" spans="1:28" s="96" customFormat="1" ht="11.1"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85" customHeight="1">
      <c r="A9" s="141" t="s">
        <v>3511</v>
      </c>
      <c r="B9" s="98"/>
      <c r="C9" s="98"/>
      <c r="D9" s="2511"/>
      <c r="E9" s="2511"/>
      <c r="F9" s="98" t="s">
        <v>3508</v>
      </c>
      <c r="G9" s="98"/>
      <c r="H9" s="2511"/>
      <c r="I9" s="2511"/>
      <c r="J9" s="98" t="s">
        <v>3512</v>
      </c>
      <c r="K9" s="98"/>
      <c r="L9" s="98" t="s">
        <v>3513</v>
      </c>
      <c r="M9" s="98"/>
      <c r="N9" s="98"/>
      <c r="O9" s="98"/>
      <c r="P9" s="2511"/>
      <c r="Q9" s="856">
        <v>0</v>
      </c>
      <c r="R9" s="2636">
        <v>2</v>
      </c>
      <c r="S9" s="2511"/>
      <c r="U9" s="2511"/>
      <c r="V9" s="540"/>
      <c r="W9" s="540"/>
      <c r="X9" s="99"/>
      <c r="AA9" s="40"/>
      <c r="AB9" s="40"/>
    </row>
    <row r="10" spans="1:28" s="96" customFormat="1" ht="11.85" customHeight="1">
      <c r="A10" s="141"/>
      <c r="B10" s="98"/>
      <c r="C10" s="98"/>
      <c r="D10" s="2511"/>
      <c r="E10" s="2511"/>
      <c r="F10" s="98"/>
      <c r="G10" s="98"/>
      <c r="H10" s="2511"/>
      <c r="I10" s="2511"/>
      <c r="J10" s="98" t="s">
        <v>3514</v>
      </c>
      <c r="K10" s="98"/>
      <c r="L10" s="98" t="s">
        <v>3513</v>
      </c>
      <c r="M10" s="98"/>
      <c r="N10" s="98"/>
      <c r="O10" s="98"/>
      <c r="P10" s="2511"/>
      <c r="Q10" s="856">
        <v>0</v>
      </c>
      <c r="R10" s="2636">
        <v>1</v>
      </c>
      <c r="S10" s="2511"/>
      <c r="U10" s="2511"/>
      <c r="V10" s="540"/>
      <c r="W10" s="540"/>
      <c r="X10" s="99"/>
      <c r="AA10" s="40"/>
      <c r="AB10" s="40"/>
    </row>
    <row r="11" spans="1:28" s="96" customFormat="1" ht="11.8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85" customHeight="1">
      <c r="A12" s="141"/>
      <c r="B12" s="98"/>
      <c r="C12" s="98"/>
      <c r="D12" s="2511"/>
      <c r="E12" s="2511"/>
      <c r="F12" s="98"/>
      <c r="G12" s="98"/>
      <c r="H12" s="2511"/>
      <c r="I12" s="2511"/>
      <c r="J12" s="98"/>
      <c r="K12" s="98"/>
      <c r="L12" s="98"/>
      <c r="M12" s="98"/>
      <c r="N12" s="98"/>
      <c r="O12" s="98"/>
      <c r="P12" s="98"/>
      <c r="Q12" s="1703" t="s">
        <v>3515</v>
      </c>
      <c r="R12" s="1703" t="s">
        <v>3516</v>
      </c>
      <c r="S12" s="98"/>
      <c r="U12" s="2511"/>
      <c r="V12" s="540"/>
      <c r="W12" s="540"/>
      <c r="X12" s="99"/>
      <c r="AA12" s="40"/>
      <c r="AB12" s="40"/>
    </row>
    <row r="13" spans="1:28" s="96" customFormat="1" ht="11.85" customHeight="1">
      <c r="A13" s="141"/>
      <c r="B13" s="98"/>
      <c r="C13" s="98"/>
      <c r="D13" s="2511"/>
      <c r="E13" s="2511"/>
      <c r="F13" s="98" t="s">
        <v>3517</v>
      </c>
      <c r="G13" s="98"/>
      <c r="H13" s="2511"/>
      <c r="I13" s="2511"/>
      <c r="J13" s="98" t="s">
        <v>3518</v>
      </c>
      <c r="K13" s="98"/>
      <c r="L13" s="98" t="s">
        <v>1237</v>
      </c>
      <c r="M13" s="98"/>
      <c r="N13" s="98" t="s">
        <v>3519</v>
      </c>
      <c r="O13" s="98"/>
      <c r="P13" s="2511"/>
      <c r="Q13" s="2636">
        <v>1300000</v>
      </c>
      <c r="R13" s="2636">
        <v>1350000</v>
      </c>
      <c r="S13" s="2511"/>
      <c r="U13" s="2511"/>
      <c r="V13" s="540"/>
      <c r="W13" s="540"/>
      <c r="X13" s="99"/>
      <c r="AA13" s="40"/>
      <c r="AB13" s="40"/>
    </row>
    <row r="14" spans="1:28" s="96" customFormat="1" ht="11.85" customHeight="1">
      <c r="A14" s="141"/>
      <c r="B14" s="98"/>
      <c r="C14" s="98"/>
      <c r="D14" s="2511"/>
      <c r="E14" s="2511"/>
      <c r="F14" s="98"/>
      <c r="G14" s="98"/>
      <c r="H14" s="2511"/>
      <c r="I14" s="2511"/>
      <c r="J14" s="98"/>
      <c r="K14" s="98"/>
      <c r="L14" s="98"/>
      <c r="M14" s="98"/>
      <c r="N14" s="98" t="s">
        <v>3520</v>
      </c>
      <c r="O14" s="98"/>
      <c r="P14" s="2511"/>
      <c r="Q14" s="2636">
        <v>1170000</v>
      </c>
      <c r="R14" s="2636">
        <v>1215000</v>
      </c>
      <c r="S14" s="2511"/>
      <c r="U14" s="2511"/>
      <c r="V14" s="540"/>
      <c r="W14" s="540"/>
      <c r="X14" s="99"/>
      <c r="AA14" s="40"/>
      <c r="AB14" s="40"/>
    </row>
    <row r="15" spans="1:28" s="96" customFormat="1" ht="11.85" customHeight="1">
      <c r="A15" s="141"/>
      <c r="B15" s="98"/>
      <c r="C15" s="98"/>
      <c r="D15" s="2511"/>
      <c r="E15" s="2511"/>
      <c r="F15" s="98"/>
      <c r="G15" s="98"/>
      <c r="H15" s="2511"/>
      <c r="I15" s="2511"/>
      <c r="J15" s="98"/>
      <c r="K15" s="98"/>
      <c r="L15" s="98" t="s">
        <v>3521</v>
      </c>
      <c r="M15" s="98"/>
      <c r="N15" s="98"/>
      <c r="O15" s="98"/>
      <c r="P15" s="2511"/>
      <c r="Q15" s="2636">
        <v>1225000</v>
      </c>
      <c r="R15" s="2636">
        <v>1270000</v>
      </c>
      <c r="S15" s="2511"/>
      <c r="U15" s="2511"/>
      <c r="V15" s="540"/>
      <c r="W15" s="540"/>
      <c r="X15" s="99"/>
      <c r="AA15" s="40"/>
      <c r="AB15" s="40"/>
    </row>
    <row r="16" spans="1:28" s="96" customFormat="1" ht="11.85" customHeight="1">
      <c r="A16" s="141"/>
      <c r="B16" s="98"/>
      <c r="C16" s="98"/>
      <c r="D16" s="2511"/>
      <c r="E16" s="2511"/>
      <c r="F16" s="98"/>
      <c r="G16" s="98"/>
      <c r="H16" s="2511"/>
      <c r="I16" s="2511"/>
      <c r="J16" s="98"/>
      <c r="K16" s="98"/>
      <c r="L16" s="98" t="s">
        <v>3522</v>
      </c>
      <c r="M16" s="98"/>
      <c r="N16" s="98"/>
      <c r="O16" s="98"/>
      <c r="P16" s="98"/>
      <c r="Q16" s="2636">
        <v>1105000</v>
      </c>
      <c r="R16" s="2636">
        <v>1145000</v>
      </c>
      <c r="S16" s="98"/>
      <c r="U16" s="2511"/>
      <c r="V16" s="540"/>
      <c r="W16" s="540"/>
      <c r="X16" s="99"/>
      <c r="AA16" s="40"/>
      <c r="AB16" s="40"/>
    </row>
    <row r="17" spans="1:28" s="96" customFormat="1" ht="11.85" customHeight="1">
      <c r="A17" s="141"/>
      <c r="B17" s="98"/>
      <c r="C17" s="98"/>
      <c r="D17" s="2511"/>
      <c r="E17" s="2511"/>
      <c r="F17" s="98"/>
      <c r="G17" s="98"/>
      <c r="H17" s="2511"/>
      <c r="I17" s="2511"/>
      <c r="J17" s="98"/>
      <c r="K17" s="98"/>
      <c r="L17" s="98"/>
      <c r="M17" s="98"/>
      <c r="N17" s="98"/>
      <c r="O17" s="98"/>
      <c r="P17" s="98"/>
      <c r="Q17" s="99" t="s">
        <v>3172</v>
      </c>
      <c r="R17" s="99" t="s">
        <v>3174</v>
      </c>
      <c r="S17" s="98"/>
      <c r="U17" s="2511"/>
      <c r="V17" s="540"/>
      <c r="W17" s="540"/>
      <c r="X17" s="99"/>
      <c r="AA17" s="40"/>
      <c r="AB17" s="40"/>
    </row>
    <row r="18" spans="1:28" s="96" customFormat="1" ht="11.85" customHeight="1">
      <c r="A18" s="141"/>
      <c r="B18" s="98"/>
      <c r="C18" s="98"/>
      <c r="D18" s="2511"/>
      <c r="E18" s="2511"/>
      <c r="F18" s="98"/>
      <c r="G18" s="98"/>
      <c r="H18" s="2511"/>
      <c r="I18" s="2511"/>
      <c r="J18" s="98" t="s">
        <v>3523</v>
      </c>
      <c r="K18" s="98"/>
      <c r="L18" s="98" t="s">
        <v>3524</v>
      </c>
      <c r="M18" s="98"/>
      <c r="N18" s="98"/>
      <c r="O18" s="98"/>
      <c r="P18" s="98"/>
      <c r="Q18" s="2636" t="s">
        <v>3525</v>
      </c>
      <c r="R18" s="2636">
        <v>40000000</v>
      </c>
      <c r="S18" s="2511"/>
      <c r="U18" s="2511"/>
      <c r="V18" s="540"/>
      <c r="W18" s="540"/>
      <c r="X18" s="99"/>
      <c r="AA18" s="40"/>
      <c r="AB18" s="40"/>
    </row>
    <row r="19" spans="1:28" s="96" customFormat="1" ht="11.85" customHeight="1">
      <c r="A19" s="141"/>
      <c r="B19" s="98"/>
      <c r="C19" s="98"/>
      <c r="D19" s="2511"/>
      <c r="E19" s="2511"/>
      <c r="F19" s="98"/>
      <c r="G19" s="98"/>
      <c r="H19" s="2511"/>
      <c r="I19" s="2511"/>
      <c r="J19" s="98"/>
      <c r="K19" s="98"/>
      <c r="L19" s="685" t="s">
        <v>3526</v>
      </c>
      <c r="M19" s="98"/>
      <c r="N19" s="98"/>
      <c r="O19" s="98"/>
      <c r="P19" s="98"/>
      <c r="Q19" s="98"/>
      <c r="R19" s="98"/>
      <c r="S19" s="2511"/>
      <c r="U19" s="2511"/>
      <c r="V19" s="540"/>
      <c r="W19" s="540"/>
      <c r="X19" s="99"/>
      <c r="AA19" s="40"/>
      <c r="AB19" s="40"/>
    </row>
    <row r="20" spans="1:28" s="96" customFormat="1" ht="11.85" customHeight="1">
      <c r="A20" s="98"/>
      <c r="B20" s="98"/>
      <c r="C20" s="98"/>
      <c r="D20" s="2511"/>
      <c r="E20" s="2511"/>
      <c r="L20" s="146" t="s">
        <v>3527</v>
      </c>
      <c r="O20" s="98"/>
      <c r="Q20" s="4723" t="s">
        <v>1767</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3277</v>
      </c>
      <c r="G22" s="98"/>
      <c r="H22" s="2511"/>
      <c r="I22" s="2511"/>
      <c r="J22" s="98" t="s">
        <v>3528</v>
      </c>
      <c r="K22" s="98"/>
      <c r="L22" s="98"/>
      <c r="M22" s="98"/>
      <c r="N22" s="98"/>
      <c r="O22" s="98"/>
      <c r="P22" s="2511"/>
      <c r="Q22" s="4724">
        <v>1000000</v>
      </c>
      <c r="R22" s="4724">
        <v>2000000</v>
      </c>
      <c r="S22" s="142"/>
      <c r="T22" s="142"/>
      <c r="U22" s="2511"/>
      <c r="V22" s="222"/>
      <c r="W22" s="222"/>
      <c r="X22" s="222"/>
      <c r="AA22" s="40"/>
      <c r="AB22" s="40"/>
    </row>
    <row r="23" spans="1:28" s="96" customFormat="1" ht="11.45" hidden="1" customHeight="1">
      <c r="F23" s="98"/>
      <c r="G23" s="98"/>
      <c r="H23" s="2511"/>
      <c r="I23" s="2511"/>
      <c r="J23" s="98" t="s">
        <v>3529</v>
      </c>
      <c r="K23" s="98"/>
      <c r="L23" s="98"/>
      <c r="M23" s="98"/>
      <c r="N23" s="98"/>
      <c r="O23" s="98"/>
      <c r="P23" s="2511"/>
      <c r="Q23" s="4725" t="s">
        <v>2133</v>
      </c>
      <c r="R23" s="4726">
        <v>0.25</v>
      </c>
      <c r="S23" s="2511"/>
      <c r="T23" s="2511"/>
      <c r="U23" s="2511"/>
      <c r="V23" s="540"/>
      <c r="W23" s="540"/>
      <c r="X23" s="99"/>
      <c r="AA23" s="40"/>
      <c r="AB23" s="40"/>
    </row>
    <row r="24" spans="1:28" s="96" customFormat="1" ht="11.25" hidden="1" customHeight="1">
      <c r="A24" s="98"/>
      <c r="B24" s="98"/>
      <c r="C24" s="98"/>
      <c r="D24" s="2511"/>
      <c r="E24" s="2511"/>
      <c r="F24" s="98" t="s">
        <v>3530</v>
      </c>
      <c r="G24" s="98"/>
      <c r="H24" s="2511"/>
      <c r="I24" s="2511"/>
      <c r="J24" s="323" t="s">
        <v>3531</v>
      </c>
      <c r="K24" s="2603"/>
      <c r="M24" s="2603"/>
      <c r="N24" s="2603"/>
      <c r="O24" s="98"/>
      <c r="Q24" s="4273" t="s">
        <v>3532</v>
      </c>
      <c r="R24" s="4274"/>
      <c r="S24" s="150"/>
      <c r="T24" s="2511"/>
      <c r="U24" s="2511"/>
      <c r="V24" s="222"/>
      <c r="W24" s="222"/>
      <c r="X24" s="222"/>
      <c r="AA24" s="40"/>
      <c r="AB24" s="40"/>
    </row>
    <row r="25" spans="1:28" s="96" customFormat="1" ht="11.25" hidden="1" customHeight="1">
      <c r="A25" s="98"/>
      <c r="B25" s="98"/>
      <c r="C25" s="98"/>
      <c r="D25" s="2511"/>
      <c r="E25" s="2511"/>
      <c r="F25" s="98" t="s">
        <v>3533</v>
      </c>
      <c r="G25" s="98"/>
      <c r="H25" s="2511"/>
      <c r="I25" s="2511"/>
      <c r="J25" s="323" t="s">
        <v>2725</v>
      </c>
      <c r="K25" s="2603"/>
      <c r="M25" s="2603"/>
      <c r="N25" s="2603"/>
      <c r="O25" s="98"/>
      <c r="Q25" s="4275">
        <v>0.1</v>
      </c>
      <c r="R25" s="4276"/>
      <c r="S25" s="150"/>
      <c r="T25" s="2511"/>
      <c r="U25" s="2511"/>
      <c r="V25" s="222"/>
      <c r="W25" s="222"/>
      <c r="X25" s="222"/>
      <c r="AA25" s="40"/>
      <c r="AB25" s="40"/>
    </row>
    <row r="26" spans="1:28" s="96" customFormat="1" ht="12.75" hidden="1" customHeight="1">
      <c r="A26" s="98"/>
      <c r="B26" s="98"/>
      <c r="C26" s="98"/>
      <c r="J26" s="1426" t="s">
        <v>1311</v>
      </c>
      <c r="K26" s="146"/>
      <c r="L26" s="146"/>
      <c r="N26" s="2603"/>
      <c r="O26" s="98"/>
      <c r="Q26" s="4727" t="s">
        <v>3534</v>
      </c>
      <c r="R26" s="4727"/>
      <c r="S26" s="2511"/>
      <c r="T26" s="2511"/>
      <c r="U26" s="2511"/>
      <c r="AA26" s="40"/>
      <c r="AB26" s="40"/>
    </row>
    <row r="27" spans="1:28" s="96" customFormat="1" ht="12.75" hidden="1" customHeight="1">
      <c r="A27" s="98"/>
      <c r="B27" s="98"/>
      <c r="C27" s="98"/>
      <c r="K27" s="146" t="s">
        <v>3535</v>
      </c>
      <c r="L27" s="146"/>
      <c r="N27" s="2603"/>
      <c r="O27" s="98"/>
      <c r="P27" s="2511"/>
      <c r="Q27" s="4277">
        <v>0.2</v>
      </c>
      <c r="R27" s="4278"/>
      <c r="S27" s="2511"/>
      <c r="T27" s="2511"/>
      <c r="U27" s="2511"/>
      <c r="AA27" s="40"/>
      <c r="AB27" s="40"/>
    </row>
    <row r="28" spans="1:28" s="96" customFormat="1" ht="12.75" hidden="1" customHeight="1">
      <c r="A28" s="98"/>
      <c r="B28" s="98"/>
      <c r="C28" s="98"/>
      <c r="K28" s="146" t="s">
        <v>3536</v>
      </c>
      <c r="L28" s="146"/>
      <c r="N28" s="2603"/>
      <c r="O28" s="98"/>
      <c r="P28" s="2511"/>
      <c r="Q28" s="4265">
        <v>0.15</v>
      </c>
      <c r="R28" s="4266"/>
      <c r="S28" s="2511"/>
      <c r="T28" s="2511"/>
      <c r="U28" s="2511"/>
      <c r="AA28" s="40"/>
      <c r="AB28" s="40"/>
    </row>
    <row r="29" spans="1:28" s="96" customFormat="1" ht="12.75" hidden="1" customHeight="1">
      <c r="A29" s="98"/>
      <c r="B29" s="98"/>
      <c r="C29" s="98"/>
      <c r="K29" s="146" t="s">
        <v>3537</v>
      </c>
      <c r="L29" s="146"/>
      <c r="N29" s="2603"/>
      <c r="O29" s="98"/>
      <c r="P29" s="2511"/>
      <c r="Q29" s="4265">
        <v>0.15</v>
      </c>
      <c r="R29" s="4266"/>
      <c r="S29" s="2511"/>
      <c r="T29" s="2511"/>
      <c r="U29" s="2511"/>
      <c r="AA29" s="40"/>
      <c r="AB29" s="40"/>
    </row>
    <row r="30" spans="1:28" s="96" customFormat="1" ht="12.75" hidden="1" customHeight="1">
      <c r="A30" s="98"/>
      <c r="B30" s="98"/>
      <c r="C30" s="98"/>
      <c r="K30" s="146" t="s">
        <v>3538</v>
      </c>
      <c r="L30" s="146"/>
      <c r="N30" s="2603"/>
      <c r="O30" s="98"/>
      <c r="P30" s="2511"/>
      <c r="Q30" s="4265">
        <v>0.1</v>
      </c>
      <c r="R30" s="4266"/>
      <c r="S30" s="2511"/>
      <c r="T30" s="2511"/>
      <c r="U30" s="2511"/>
      <c r="AA30" s="40"/>
      <c r="AB30" s="40"/>
    </row>
    <row r="31" spans="1:28" s="96" customFormat="1" ht="12.75" hidden="1" customHeight="1">
      <c r="A31" s="98"/>
      <c r="B31" s="98"/>
      <c r="C31" s="98"/>
      <c r="K31" s="146" t="s">
        <v>3539</v>
      </c>
      <c r="L31" s="146"/>
      <c r="N31" s="2603"/>
      <c r="O31" s="98"/>
      <c r="P31" s="2511"/>
      <c r="Q31" s="4267">
        <v>0.1</v>
      </c>
      <c r="R31" s="4268"/>
      <c r="S31" s="2511"/>
      <c r="T31" s="2511"/>
      <c r="U31" s="2511"/>
      <c r="AA31" s="40"/>
      <c r="AB31" s="40"/>
    </row>
    <row r="32" spans="1:28" s="96" customFormat="1" ht="11.85" customHeight="1">
      <c r="A32" s="98"/>
      <c r="B32" s="98"/>
      <c r="C32" s="98"/>
      <c r="D32" s="2511"/>
      <c r="E32" s="2511"/>
      <c r="O32" s="98"/>
      <c r="T32" s="142"/>
      <c r="U32" s="2511"/>
      <c r="V32" s="222"/>
      <c r="W32" s="222"/>
      <c r="X32" s="222"/>
      <c r="AA32" s="40"/>
      <c r="AB32" s="40"/>
    </row>
    <row r="33" spans="1:28" s="96" customFormat="1" ht="11.85" customHeight="1">
      <c r="A33" s="137" t="s">
        <v>3504</v>
      </c>
      <c r="B33" s="137"/>
      <c r="C33" s="137"/>
      <c r="D33" s="2511"/>
      <c r="E33" s="2511"/>
      <c r="F33" s="137" t="s">
        <v>3505</v>
      </c>
      <c r="G33" s="137"/>
      <c r="H33" s="2511"/>
      <c r="I33" s="2511"/>
      <c r="J33" s="137" t="s">
        <v>3506</v>
      </c>
      <c r="K33" s="137"/>
      <c r="L33" s="137"/>
      <c r="M33" s="137"/>
      <c r="N33" s="137"/>
      <c r="O33" s="137"/>
      <c r="P33" s="2511"/>
      <c r="Q33" s="99" t="s">
        <v>3172</v>
      </c>
      <c r="R33" s="99" t="s">
        <v>3174</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3540</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85" customHeight="1">
      <c r="A36" s="2511"/>
      <c r="B36" s="98" t="s">
        <v>3540</v>
      </c>
      <c r="C36" s="98"/>
      <c r="D36" s="2511"/>
      <c r="E36" s="2511"/>
      <c r="F36" s="98" t="s">
        <v>3541</v>
      </c>
      <c r="G36" s="98" t="s">
        <v>3542</v>
      </c>
      <c r="H36" s="2511"/>
      <c r="I36" s="2511"/>
      <c r="J36" s="98" t="s">
        <v>1131</v>
      </c>
      <c r="K36" s="98"/>
      <c r="L36" s="98"/>
      <c r="M36" s="98"/>
      <c r="N36" s="98"/>
      <c r="O36" s="98"/>
      <c r="P36" s="2511"/>
      <c r="Q36" s="1695">
        <v>5000</v>
      </c>
      <c r="R36" s="1693" t="s">
        <v>2133</v>
      </c>
      <c r="S36" s="146"/>
      <c r="AA36" s="40"/>
      <c r="AB36" s="40"/>
    </row>
    <row r="37" spans="1:28" s="96" customFormat="1" ht="11.85" customHeight="1">
      <c r="A37" s="2511"/>
      <c r="B37" s="98"/>
      <c r="C37" s="98"/>
      <c r="D37" s="2511"/>
      <c r="E37" s="2511"/>
      <c r="F37" s="98"/>
      <c r="G37" s="98" t="s">
        <v>3543</v>
      </c>
      <c r="H37" s="2511"/>
      <c r="I37" s="2511"/>
      <c r="J37" s="98" t="s">
        <v>1131</v>
      </c>
      <c r="K37" s="98"/>
      <c r="L37" s="98"/>
      <c r="M37" s="98"/>
      <c r="N37" s="98"/>
      <c r="O37" s="98"/>
      <c r="P37" s="2511"/>
      <c r="Q37" s="1696">
        <v>4500</v>
      </c>
      <c r="R37" s="1694" t="s">
        <v>2133</v>
      </c>
      <c r="S37" s="146"/>
      <c r="AA37" s="40"/>
      <c r="AB37" s="40"/>
    </row>
    <row r="38" spans="1:28" s="96" customFormat="1" ht="11.85" customHeight="1">
      <c r="A38" s="2511"/>
      <c r="B38" s="98"/>
      <c r="C38" s="98"/>
      <c r="D38" s="2511"/>
      <c r="E38" s="2511"/>
      <c r="F38" s="98" t="s">
        <v>1747</v>
      </c>
      <c r="G38" s="98" t="s">
        <v>2726</v>
      </c>
      <c r="H38" s="2511"/>
      <c r="I38" s="2511"/>
      <c r="J38" s="98" t="s">
        <v>1131</v>
      </c>
      <c r="K38" s="98"/>
      <c r="L38" s="98"/>
      <c r="M38" s="98"/>
      <c r="N38" s="98"/>
      <c r="O38" s="98"/>
      <c r="P38" s="2511"/>
      <c r="Q38" s="1695">
        <v>3750</v>
      </c>
      <c r="R38" s="1693" t="s">
        <v>2133</v>
      </c>
      <c r="S38" s="146"/>
      <c r="AA38" s="40"/>
      <c r="AB38" s="40"/>
    </row>
    <row r="39" spans="1:28" s="96" customFormat="1" ht="11.85" customHeight="1">
      <c r="A39" s="98"/>
      <c r="B39" s="98"/>
      <c r="C39" s="98"/>
      <c r="D39" s="2511"/>
      <c r="E39" s="2511"/>
      <c r="G39" s="98" t="s">
        <v>3544</v>
      </c>
      <c r="H39" s="2511"/>
      <c r="I39" s="2511"/>
      <c r="J39" s="98" t="s">
        <v>1131</v>
      </c>
      <c r="K39" s="98"/>
      <c r="L39" s="98"/>
      <c r="M39" s="98"/>
      <c r="N39" s="98"/>
      <c r="O39" s="98"/>
      <c r="P39" s="2511"/>
      <c r="Q39" s="1697">
        <v>3250</v>
      </c>
      <c r="R39" s="1698" t="s">
        <v>2133</v>
      </c>
      <c r="S39" s="146"/>
      <c r="AA39" s="40"/>
      <c r="AB39" s="40"/>
    </row>
    <row r="40" spans="1:28" s="96" customFormat="1" ht="11.85" customHeight="1">
      <c r="A40" s="98"/>
      <c r="B40" s="98"/>
      <c r="C40" s="98"/>
      <c r="D40" s="2511"/>
      <c r="E40" s="2511"/>
      <c r="G40" s="98" t="s">
        <v>3545</v>
      </c>
      <c r="H40" s="2511"/>
      <c r="I40" s="2511"/>
      <c r="J40" s="98" t="s">
        <v>1131</v>
      </c>
      <c r="K40" s="98"/>
      <c r="L40" s="98"/>
      <c r="M40" s="98"/>
      <c r="N40" s="98"/>
      <c r="O40" s="98"/>
      <c r="P40" s="2511"/>
      <c r="Q40" s="1696" t="s">
        <v>1774</v>
      </c>
      <c r="R40" s="1694" t="s">
        <v>2133</v>
      </c>
      <c r="S40" s="146"/>
      <c r="T40" s="146"/>
      <c r="U40" s="146"/>
      <c r="AA40" s="40"/>
      <c r="AB40" s="40"/>
    </row>
    <row r="41" spans="1:28" s="96" customFormat="1" ht="11.85" customHeight="1">
      <c r="A41" s="98"/>
      <c r="B41" s="98" t="s">
        <v>3546</v>
      </c>
      <c r="C41" s="98"/>
      <c r="D41" s="2511"/>
      <c r="E41" s="2511"/>
      <c r="F41" s="98" t="s">
        <v>3547</v>
      </c>
      <c r="G41" s="98"/>
      <c r="H41" s="2511"/>
      <c r="I41" s="2511"/>
      <c r="J41" s="98" t="s">
        <v>1131</v>
      </c>
      <c r="K41" s="98"/>
      <c r="L41" s="98"/>
      <c r="M41" s="98"/>
      <c r="N41" s="98"/>
      <c r="O41" s="98"/>
      <c r="P41" s="2511"/>
      <c r="Q41" s="1695">
        <v>400</v>
      </c>
      <c r="R41" s="1693" t="s">
        <v>2133</v>
      </c>
      <c r="S41" s="146"/>
      <c r="T41" s="146"/>
      <c r="U41" s="146"/>
      <c r="AA41" s="40"/>
      <c r="AB41" s="40"/>
    </row>
    <row r="42" spans="1:28" s="96" customFormat="1" ht="11.85" customHeight="1">
      <c r="A42" s="98"/>
      <c r="B42" s="98"/>
      <c r="C42" s="98"/>
      <c r="D42" s="2511"/>
      <c r="E42" s="2511"/>
      <c r="F42" s="98" t="s">
        <v>3548</v>
      </c>
      <c r="G42" s="98"/>
      <c r="H42" s="2511"/>
      <c r="I42" s="2511"/>
      <c r="J42" s="98" t="s">
        <v>1131</v>
      </c>
      <c r="K42" s="98"/>
      <c r="L42" s="98"/>
      <c r="M42" s="98"/>
      <c r="N42" s="98"/>
      <c r="O42" s="98"/>
      <c r="P42" s="2511"/>
      <c r="Q42" s="1697">
        <v>300</v>
      </c>
      <c r="R42" s="1698" t="s">
        <v>2133</v>
      </c>
      <c r="S42" s="146"/>
      <c r="T42" s="146"/>
      <c r="U42" s="146"/>
      <c r="AA42" s="40"/>
      <c r="AB42" s="40"/>
    </row>
    <row r="43" spans="1:28" s="96" customFormat="1" ht="11.85" customHeight="1">
      <c r="A43" s="98"/>
      <c r="B43" s="98"/>
      <c r="C43" s="98"/>
      <c r="D43" s="98"/>
      <c r="E43" s="2511"/>
      <c r="F43" s="98" t="s">
        <v>3549</v>
      </c>
      <c r="G43" s="98"/>
      <c r="H43" s="2511"/>
      <c r="I43" s="2511"/>
      <c r="J43" s="98" t="s">
        <v>1131</v>
      </c>
      <c r="K43" s="98"/>
      <c r="L43" s="98"/>
      <c r="M43" s="98"/>
      <c r="N43" s="98"/>
      <c r="O43" s="98"/>
      <c r="P43" s="2511"/>
      <c r="Q43" s="1697">
        <v>470</v>
      </c>
      <c r="R43" s="1698" t="s">
        <v>2133</v>
      </c>
      <c r="S43" s="146"/>
      <c r="T43" s="146"/>
      <c r="U43" s="146"/>
      <c r="AA43" s="40"/>
      <c r="AB43" s="40"/>
    </row>
    <row r="44" spans="1:28" s="96" customFormat="1" ht="11.85" customHeight="1">
      <c r="A44" s="98"/>
      <c r="B44" s="98"/>
      <c r="C44" s="98"/>
      <c r="D44" s="98"/>
      <c r="E44" s="2511"/>
      <c r="F44" s="98" t="s">
        <v>3550</v>
      </c>
      <c r="G44" s="98"/>
      <c r="H44" s="2511"/>
      <c r="I44" s="2511"/>
      <c r="J44" s="98" t="s">
        <v>1131</v>
      </c>
      <c r="K44" s="98"/>
      <c r="L44" s="98"/>
      <c r="M44" s="98"/>
      <c r="N44" s="98"/>
      <c r="O44" s="98"/>
      <c r="P44" s="2511"/>
      <c r="Q44" s="1696">
        <v>420</v>
      </c>
      <c r="R44" s="1694" t="s">
        <v>2133</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3551</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85" customHeight="1">
      <c r="A47" s="98"/>
      <c r="B47" s="98" t="s">
        <v>3552</v>
      </c>
      <c r="C47" s="98"/>
      <c r="D47" s="2511"/>
      <c r="E47" s="2511"/>
      <c r="F47" s="98" t="s">
        <v>3547</v>
      </c>
      <c r="G47" s="98"/>
      <c r="H47" s="2511"/>
      <c r="I47" s="2511"/>
      <c r="J47" s="98" t="s">
        <v>3553</v>
      </c>
      <c r="K47" s="98"/>
      <c r="L47" s="98"/>
      <c r="M47" s="98"/>
      <c r="N47" s="98"/>
      <c r="O47" s="98"/>
      <c r="P47" s="2511"/>
      <c r="Q47" s="2636">
        <v>35000</v>
      </c>
      <c r="R47" s="856" t="s">
        <v>3554</v>
      </c>
      <c r="S47" s="146"/>
      <c r="T47" s="146"/>
      <c r="U47" s="146"/>
      <c r="AA47" s="40"/>
      <c r="AB47" s="40"/>
    </row>
    <row r="48" spans="1:28" s="96" customFormat="1" ht="11.85" customHeight="1">
      <c r="A48" s="98"/>
      <c r="B48" s="98"/>
      <c r="C48" s="98"/>
      <c r="D48" s="2511"/>
      <c r="E48" s="2511"/>
      <c r="F48" s="98" t="s">
        <v>3555</v>
      </c>
      <c r="G48" s="98"/>
      <c r="H48" s="2511"/>
      <c r="I48" s="2511"/>
      <c r="J48" s="98" t="s">
        <v>3556</v>
      </c>
      <c r="K48" s="98"/>
      <c r="L48" s="98"/>
      <c r="M48" s="98"/>
      <c r="N48" s="98"/>
      <c r="O48" s="98"/>
      <c r="P48" s="2511"/>
      <c r="Q48" s="4723" t="s">
        <v>2133</v>
      </c>
      <c r="R48" s="2636">
        <v>1250000</v>
      </c>
      <c r="S48" s="146"/>
      <c r="T48" s="146"/>
      <c r="U48" s="146"/>
      <c r="AA48" s="40"/>
      <c r="AB48" s="40"/>
    </row>
    <row r="49" spans="1:28" s="96" customFormat="1" ht="11.85" customHeight="1">
      <c r="A49" s="98"/>
      <c r="B49" s="98" t="s">
        <v>591</v>
      </c>
      <c r="C49" s="98"/>
      <c r="D49" s="2511"/>
      <c r="E49" s="2511"/>
      <c r="F49" s="98" t="s">
        <v>3548</v>
      </c>
      <c r="G49" s="98"/>
      <c r="H49" s="2511"/>
      <c r="I49" s="2511"/>
      <c r="J49" s="98" t="s">
        <v>3557</v>
      </c>
      <c r="K49" s="98"/>
      <c r="L49" s="98"/>
      <c r="M49" s="98"/>
      <c r="N49" s="98"/>
      <c r="O49" s="98"/>
      <c r="P49" s="2511"/>
      <c r="Q49" s="2637" t="s">
        <v>2133</v>
      </c>
      <c r="R49" s="2628">
        <v>0.05</v>
      </c>
      <c r="S49" s="146"/>
      <c r="T49" s="146"/>
      <c r="U49" s="146"/>
      <c r="AA49" s="40"/>
      <c r="AB49" s="40"/>
    </row>
    <row r="50" spans="1:28" s="96" customFormat="1" ht="11.85" customHeight="1">
      <c r="A50" s="98"/>
      <c r="B50" s="98"/>
      <c r="C50" s="98"/>
      <c r="D50" s="2511"/>
      <c r="E50" s="2511"/>
      <c r="F50" s="98" t="s">
        <v>3547</v>
      </c>
      <c r="G50" s="98"/>
      <c r="H50" s="2511"/>
      <c r="I50" s="2511"/>
      <c r="J50" s="98" t="s">
        <v>3557</v>
      </c>
      <c r="K50" s="98"/>
      <c r="L50" s="98"/>
      <c r="M50" s="98"/>
      <c r="N50" s="98"/>
      <c r="O50" s="98"/>
      <c r="P50" s="2511"/>
      <c r="Q50" s="2634" t="s">
        <v>2133</v>
      </c>
      <c r="R50" s="2629">
        <v>0.1</v>
      </c>
      <c r="S50" s="146"/>
      <c r="T50" s="146"/>
      <c r="U50" s="146"/>
      <c r="AA50" s="40"/>
      <c r="AB50" s="40"/>
    </row>
    <row r="51" spans="1:28" s="96" customFormat="1" ht="11.85" customHeight="1">
      <c r="A51" s="98"/>
      <c r="B51" s="98"/>
      <c r="C51" s="98"/>
      <c r="D51" s="2511"/>
      <c r="E51" s="2511"/>
      <c r="F51" s="98" t="s">
        <v>3558</v>
      </c>
      <c r="G51" s="98"/>
      <c r="H51" s="2511"/>
      <c r="I51" s="2511"/>
      <c r="J51" s="98" t="s">
        <v>3557</v>
      </c>
      <c r="K51" s="98"/>
      <c r="L51" s="98"/>
      <c r="M51" s="98"/>
      <c r="N51" s="98"/>
      <c r="O51" s="98"/>
      <c r="P51" s="2511"/>
      <c r="Q51" s="2635">
        <v>0.03</v>
      </c>
      <c r="R51" s="2635" t="s">
        <v>2133</v>
      </c>
      <c r="S51" s="146"/>
      <c r="T51" s="146"/>
      <c r="U51" s="146"/>
      <c r="AA51" s="40"/>
      <c r="AB51" s="40"/>
    </row>
    <row r="52" spans="1:28" s="96" customFormat="1" ht="11.85" customHeight="1">
      <c r="A52" s="98"/>
      <c r="B52" s="98" t="s">
        <v>3559</v>
      </c>
      <c r="C52" s="98"/>
      <c r="D52" s="2511"/>
      <c r="E52" s="2511"/>
      <c r="F52" s="98" t="s">
        <v>2133</v>
      </c>
      <c r="G52" s="98"/>
      <c r="H52" s="2511"/>
      <c r="I52" s="2511"/>
      <c r="J52" s="98" t="s">
        <v>3560</v>
      </c>
      <c r="K52" s="98"/>
      <c r="L52" s="98"/>
      <c r="M52" s="98"/>
      <c r="N52" s="98"/>
      <c r="O52" s="98"/>
      <c r="P52" s="2511"/>
      <c r="Q52" s="856" t="s">
        <v>2133</v>
      </c>
      <c r="R52" s="2633">
        <v>0.06</v>
      </c>
      <c r="S52" s="146"/>
      <c r="T52" s="146"/>
      <c r="U52" s="146"/>
      <c r="AA52" s="40"/>
      <c r="AB52" s="40"/>
    </row>
    <row r="53" spans="1:28" s="96" customFormat="1" ht="11.85" customHeight="1">
      <c r="A53" s="98"/>
      <c r="B53" s="98" t="s">
        <v>3561</v>
      </c>
      <c r="C53" s="98"/>
      <c r="D53" s="2511"/>
      <c r="E53" s="2511"/>
      <c r="F53" s="98" t="s">
        <v>2133</v>
      </c>
      <c r="G53" s="98"/>
      <c r="H53" s="2511"/>
      <c r="I53" s="2511"/>
      <c r="J53" s="98" t="s">
        <v>3560</v>
      </c>
      <c r="K53" s="98"/>
      <c r="L53" s="98"/>
      <c r="M53" s="98"/>
      <c r="N53" s="98"/>
      <c r="O53" s="98"/>
      <c r="P53" s="2511"/>
      <c r="Q53" s="856" t="s">
        <v>2133</v>
      </c>
      <c r="R53" s="2633">
        <v>0.02</v>
      </c>
      <c r="S53" s="146"/>
      <c r="T53" s="146"/>
      <c r="U53" s="146"/>
      <c r="AA53" s="40"/>
      <c r="AB53" s="40"/>
    </row>
    <row r="54" spans="1:28" s="96" customFormat="1" ht="11.85" customHeight="1">
      <c r="A54" s="98"/>
      <c r="B54" s="98" t="s">
        <v>3562</v>
      </c>
      <c r="C54" s="98"/>
      <c r="D54" s="2511"/>
      <c r="E54" s="2511"/>
      <c r="F54" s="98" t="s">
        <v>2133</v>
      </c>
      <c r="G54" s="98"/>
      <c r="H54" s="2511"/>
      <c r="I54" s="2511"/>
      <c r="J54" s="98" t="s">
        <v>3560</v>
      </c>
      <c r="K54" s="98"/>
      <c r="L54" s="98"/>
      <c r="M54" s="98"/>
      <c r="N54" s="98"/>
      <c r="O54" s="98"/>
      <c r="P54" s="2511"/>
      <c r="Q54" s="856" t="s">
        <v>2133</v>
      </c>
      <c r="R54" s="2633">
        <v>0.06</v>
      </c>
      <c r="S54" s="146"/>
      <c r="T54" s="146"/>
      <c r="U54" s="146"/>
      <c r="AA54" s="40"/>
      <c r="AB54" s="40"/>
    </row>
    <row r="55" spans="1:28" s="96" customFormat="1" ht="11.85" customHeight="1">
      <c r="A55" s="98"/>
      <c r="B55" s="98" t="s">
        <v>1286</v>
      </c>
      <c r="C55" s="98"/>
      <c r="D55" s="2511"/>
      <c r="E55" s="2511"/>
      <c r="F55" s="98" t="s">
        <v>614</v>
      </c>
      <c r="G55" s="98"/>
      <c r="H55" s="2511"/>
      <c r="I55" s="2511"/>
      <c r="J55" s="98"/>
      <c r="K55" s="98"/>
      <c r="L55" s="98"/>
      <c r="M55" s="98"/>
      <c r="N55" s="98"/>
      <c r="O55" s="98"/>
      <c r="P55" s="2511"/>
      <c r="Q55" s="4728" t="s">
        <v>2133</v>
      </c>
      <c r="R55" s="4724"/>
      <c r="S55" s="146"/>
      <c r="T55" s="146"/>
      <c r="U55" s="146"/>
      <c r="AA55" s="40"/>
      <c r="AB55" s="40"/>
    </row>
    <row r="56" spans="1:28" s="96" customFormat="1" ht="11.85" customHeight="1">
      <c r="A56" s="2511"/>
      <c r="B56" s="146" t="s">
        <v>3563</v>
      </c>
      <c r="C56" s="98"/>
      <c r="D56" s="98"/>
      <c r="E56" s="2511"/>
      <c r="F56" s="98"/>
      <c r="G56" s="98"/>
      <c r="H56" s="2511"/>
      <c r="I56" s="2511"/>
      <c r="J56" s="98"/>
      <c r="K56" s="98"/>
      <c r="L56" s="98"/>
      <c r="M56" s="98"/>
      <c r="N56" s="98"/>
      <c r="O56" s="98"/>
      <c r="P56" s="2511"/>
      <c r="S56" s="146"/>
      <c r="T56" s="146"/>
      <c r="U56" s="146"/>
      <c r="AA56" s="40"/>
      <c r="AB56" s="40"/>
    </row>
    <row r="57" spans="1:28" s="96" customFormat="1" ht="11.85" customHeight="1">
      <c r="A57" s="98"/>
      <c r="B57" s="98"/>
      <c r="C57" s="146" t="s">
        <v>3564</v>
      </c>
      <c r="D57" s="98"/>
      <c r="E57" s="2511"/>
      <c r="F57" s="146" t="s">
        <v>3565</v>
      </c>
      <c r="G57" s="98"/>
      <c r="H57" s="2511"/>
      <c r="I57" s="2511"/>
      <c r="K57" s="98"/>
      <c r="L57" s="98"/>
      <c r="M57" s="98"/>
      <c r="N57" s="98"/>
      <c r="O57" s="98"/>
      <c r="P57" s="2511"/>
      <c r="Q57" s="4269">
        <v>2000</v>
      </c>
      <c r="R57" s="4270"/>
      <c r="S57" s="146"/>
      <c r="T57" s="146"/>
      <c r="U57" s="146"/>
      <c r="AA57" s="40"/>
      <c r="AB57" s="40"/>
    </row>
    <row r="58" spans="1:28" s="96" customFormat="1" ht="11.85" customHeight="1">
      <c r="A58" s="98"/>
      <c r="B58" s="98"/>
      <c r="C58" s="146" t="s">
        <v>3566</v>
      </c>
      <c r="D58" s="98"/>
      <c r="E58" s="2511"/>
      <c r="F58" s="98" t="s">
        <v>3567</v>
      </c>
      <c r="G58" s="98"/>
      <c r="H58" s="2511"/>
      <c r="I58" s="2511"/>
      <c r="J58" s="98" t="s">
        <v>3568</v>
      </c>
      <c r="K58" s="98"/>
      <c r="L58" s="98"/>
      <c r="M58" s="98" t="s">
        <v>3569</v>
      </c>
      <c r="N58" s="98"/>
      <c r="O58" s="98"/>
      <c r="P58" s="2511"/>
      <c r="Q58" s="4271">
        <v>10000</v>
      </c>
      <c r="R58" s="4272"/>
      <c r="S58" s="146"/>
      <c r="T58" s="146"/>
      <c r="U58" s="146"/>
      <c r="AA58" s="40"/>
      <c r="AB58" s="40"/>
    </row>
    <row r="59" spans="1:28" s="96" customFormat="1" ht="11.85" customHeight="1">
      <c r="A59" s="98"/>
      <c r="B59" s="98"/>
      <c r="C59" s="98"/>
      <c r="D59" s="98"/>
      <c r="E59" s="2511"/>
      <c r="F59" s="98"/>
      <c r="G59" s="98"/>
      <c r="H59" s="2511"/>
      <c r="I59" s="2511"/>
      <c r="K59" s="98"/>
      <c r="L59" s="98"/>
      <c r="M59" s="98" t="s">
        <v>3570</v>
      </c>
      <c r="N59" s="98"/>
      <c r="O59" s="98"/>
      <c r="P59" s="2511"/>
      <c r="Q59" s="4263">
        <v>8000</v>
      </c>
      <c r="R59" s="4264"/>
      <c r="S59" s="146"/>
      <c r="T59" s="146"/>
      <c r="U59" s="146"/>
      <c r="AA59" s="40"/>
      <c r="AB59" s="40"/>
    </row>
    <row r="60" spans="1:28" s="96" customFormat="1" ht="11.85" customHeight="1">
      <c r="A60" s="98"/>
      <c r="B60" s="98"/>
      <c r="C60" s="98"/>
      <c r="D60" s="98"/>
      <c r="E60" s="2511"/>
      <c r="G60" s="98"/>
      <c r="H60" s="2511"/>
      <c r="I60" s="2511"/>
      <c r="J60" s="146" t="s">
        <v>3571</v>
      </c>
      <c r="K60" s="98"/>
      <c r="L60" s="98"/>
      <c r="M60" s="98" t="s">
        <v>3569</v>
      </c>
      <c r="N60" s="98"/>
      <c r="O60" s="98"/>
      <c r="P60" s="2511"/>
      <c r="Q60" s="4263">
        <v>10000</v>
      </c>
      <c r="R60" s="4264"/>
      <c r="S60" s="146"/>
      <c r="T60" s="146"/>
      <c r="U60" s="146"/>
      <c r="AA60" s="40"/>
      <c r="AB60" s="40"/>
    </row>
    <row r="61" spans="1:28" s="96" customFormat="1" ht="11.85" customHeight="1">
      <c r="A61" s="98"/>
      <c r="B61" s="98"/>
      <c r="C61" s="98"/>
      <c r="D61" s="98"/>
      <c r="E61" s="2511"/>
      <c r="H61" s="2511"/>
      <c r="I61" s="2511"/>
      <c r="J61" s="98"/>
      <c r="K61" s="98"/>
      <c r="L61" s="98"/>
      <c r="M61" s="98" t="s">
        <v>3570</v>
      </c>
      <c r="N61" s="98"/>
      <c r="O61" s="98"/>
      <c r="P61" s="2511"/>
      <c r="Q61" s="4246">
        <v>8000</v>
      </c>
      <c r="R61" s="4247"/>
      <c r="S61" s="146"/>
      <c r="T61" s="146"/>
      <c r="U61" s="146"/>
      <c r="AA61" s="40"/>
      <c r="AB61" s="40"/>
    </row>
    <row r="62" spans="1:28" s="96" customFormat="1" ht="11.85" customHeight="1">
      <c r="A62" s="98"/>
      <c r="B62" s="98"/>
      <c r="C62" s="98" t="s">
        <v>3572</v>
      </c>
      <c r="D62" s="98"/>
      <c r="E62" s="2511"/>
      <c r="F62" s="98" t="s">
        <v>3573</v>
      </c>
      <c r="G62" s="98"/>
      <c r="H62" s="2511"/>
      <c r="I62" s="2511"/>
      <c r="K62" s="98"/>
      <c r="L62" s="98"/>
      <c r="M62" s="98"/>
      <c r="N62" s="98"/>
      <c r="O62" s="98"/>
      <c r="P62" s="2511"/>
      <c r="Q62" s="4271">
        <v>2500</v>
      </c>
      <c r="R62" s="4272"/>
      <c r="S62" s="146"/>
      <c r="T62" s="146"/>
      <c r="U62" s="146"/>
      <c r="AA62" s="40"/>
      <c r="AB62" s="40"/>
    </row>
    <row r="63" spans="1:28" s="96" customFormat="1" ht="11.85" customHeight="1">
      <c r="A63" s="98"/>
      <c r="B63" s="98"/>
      <c r="C63" s="98"/>
      <c r="D63" s="98"/>
      <c r="E63" s="2511"/>
      <c r="F63" s="98" t="s">
        <v>3574</v>
      </c>
      <c r="G63" s="98"/>
      <c r="H63" s="2511"/>
      <c r="I63" s="2511"/>
      <c r="K63" s="98"/>
      <c r="L63" s="98"/>
      <c r="M63" s="98"/>
      <c r="N63" s="98"/>
      <c r="O63" s="98"/>
      <c r="P63" s="2511"/>
      <c r="Q63" s="4263">
        <v>2500</v>
      </c>
      <c r="R63" s="4264"/>
      <c r="S63" s="146"/>
      <c r="T63" s="146"/>
      <c r="U63" s="146"/>
      <c r="AA63" s="40"/>
      <c r="AB63" s="40"/>
    </row>
    <row r="64" spans="1:28" s="96" customFormat="1" ht="11.85" customHeight="1">
      <c r="A64" s="98"/>
      <c r="B64" s="98"/>
      <c r="C64" s="98"/>
      <c r="D64" s="98"/>
      <c r="E64" s="2511"/>
      <c r="F64" s="146" t="s">
        <v>3575</v>
      </c>
      <c r="G64" s="98"/>
      <c r="H64" s="2511"/>
      <c r="I64" s="2511"/>
      <c r="Q64" s="4263">
        <v>1500</v>
      </c>
      <c r="R64" s="4264"/>
      <c r="S64" s="146"/>
      <c r="T64" s="146"/>
      <c r="U64" s="146"/>
      <c r="AA64" s="40"/>
      <c r="AB64" s="40"/>
    </row>
    <row r="65" spans="1:28" s="96" customFormat="1" ht="11.85" customHeight="1">
      <c r="A65" s="2511"/>
      <c r="B65" s="146"/>
      <c r="C65" s="98"/>
      <c r="D65" s="98"/>
      <c r="E65" s="2511"/>
      <c r="F65" s="98" t="s">
        <v>3576</v>
      </c>
      <c r="G65" s="98"/>
      <c r="H65" s="2511"/>
      <c r="I65" s="2511"/>
      <c r="J65" s="98" t="s">
        <v>3577</v>
      </c>
      <c r="K65" s="98"/>
      <c r="L65" s="98"/>
      <c r="M65" s="98"/>
      <c r="N65" s="98"/>
      <c r="O65" s="98"/>
      <c r="P65" s="2511"/>
      <c r="Q65" s="4263">
        <v>15000</v>
      </c>
      <c r="R65" s="4264"/>
      <c r="S65" s="146"/>
      <c r="T65" s="146"/>
      <c r="U65" s="146"/>
      <c r="AA65" s="40"/>
      <c r="AB65" s="40"/>
    </row>
    <row r="66" spans="1:28" s="96" customFormat="1" ht="11.85" customHeight="1">
      <c r="A66" s="98"/>
      <c r="B66" s="98"/>
      <c r="C66" s="98"/>
      <c r="D66" s="98"/>
      <c r="E66" s="2511"/>
      <c r="F66" s="98" t="s">
        <v>3578</v>
      </c>
      <c r="G66" s="98"/>
      <c r="H66" s="2511"/>
      <c r="I66" s="2511"/>
      <c r="K66" s="98"/>
      <c r="L66" s="98"/>
      <c r="M66" s="98"/>
      <c r="N66" s="98"/>
      <c r="O66" s="98"/>
      <c r="P66" s="2511"/>
      <c r="Q66" s="4255">
        <v>1500</v>
      </c>
      <c r="R66" s="4256"/>
      <c r="S66" s="146"/>
      <c r="T66" s="146"/>
      <c r="U66" s="146"/>
      <c r="AA66" s="40"/>
      <c r="AB66" s="40"/>
    </row>
    <row r="67" spans="1:28" s="96" customFormat="1" ht="11.85" customHeight="1">
      <c r="A67" s="2511"/>
      <c r="B67" s="146"/>
      <c r="C67" s="98"/>
      <c r="D67" s="98"/>
      <c r="E67" s="2511"/>
      <c r="F67" s="98" t="s">
        <v>3579</v>
      </c>
      <c r="G67" s="98"/>
      <c r="H67" s="2511"/>
      <c r="I67" s="2511"/>
      <c r="J67" s="98"/>
      <c r="K67" s="98"/>
      <c r="L67" s="98"/>
      <c r="M67" s="98"/>
      <c r="N67" s="98"/>
      <c r="O67" s="98"/>
      <c r="P67" s="2511"/>
      <c r="Q67" s="4257" t="s">
        <v>3580</v>
      </c>
      <c r="R67" s="4258"/>
      <c r="S67" s="146"/>
      <c r="T67" s="146"/>
      <c r="U67" s="146"/>
      <c r="AA67" s="40"/>
      <c r="AB67" s="40"/>
    </row>
    <row r="68" spans="1:28" s="96" customFormat="1" ht="11.85" customHeight="1">
      <c r="A68" s="2511"/>
      <c r="B68" s="146"/>
      <c r="C68" s="98"/>
      <c r="D68" s="98"/>
      <c r="E68" s="2511"/>
      <c r="F68" s="98" t="s">
        <v>3581</v>
      </c>
      <c r="G68" s="98"/>
      <c r="H68" s="2511"/>
      <c r="I68" s="2511"/>
      <c r="J68" s="98"/>
      <c r="K68" s="98"/>
      <c r="L68" s="98"/>
      <c r="M68" s="98"/>
      <c r="N68" s="98"/>
      <c r="O68" s="98"/>
      <c r="P68" s="2511"/>
      <c r="Q68" s="4259" t="s">
        <v>3580</v>
      </c>
      <c r="R68" s="4260"/>
      <c r="S68" s="146"/>
      <c r="T68" s="146"/>
      <c r="U68" s="146"/>
      <c r="AA68" s="40"/>
      <c r="AB68" s="40"/>
    </row>
    <row r="69" spans="1:28" s="96" customFormat="1" ht="11.85" customHeight="1">
      <c r="A69" s="98"/>
      <c r="B69" s="98"/>
      <c r="D69" s="98"/>
      <c r="E69" s="2511"/>
      <c r="F69" s="98" t="s">
        <v>3582</v>
      </c>
      <c r="G69" s="98"/>
      <c r="H69" s="2511"/>
      <c r="I69" s="2511"/>
      <c r="J69" s="98"/>
      <c r="K69" s="98"/>
      <c r="L69" s="98"/>
      <c r="M69" s="98"/>
      <c r="N69" s="98"/>
      <c r="O69" s="98"/>
      <c r="P69" s="2511"/>
      <c r="Q69" s="4261">
        <v>1500</v>
      </c>
      <c r="R69" s="4262"/>
      <c r="S69" s="146"/>
      <c r="T69" s="146"/>
      <c r="U69" s="146"/>
      <c r="AA69" s="40"/>
      <c r="AB69" s="40"/>
    </row>
    <row r="70" spans="1:28" s="96" customFormat="1" ht="11.85" customHeight="1">
      <c r="A70" s="98"/>
      <c r="C70" s="98" t="s">
        <v>3583</v>
      </c>
      <c r="D70" s="2511"/>
      <c r="E70" s="2511"/>
      <c r="F70" s="98" t="s">
        <v>3584</v>
      </c>
      <c r="H70" s="98"/>
      <c r="I70" s="2511"/>
      <c r="J70" s="98" t="s">
        <v>3585</v>
      </c>
      <c r="K70" s="98"/>
      <c r="L70" s="98"/>
      <c r="M70" s="98"/>
      <c r="N70" s="98"/>
      <c r="O70" s="98"/>
      <c r="P70" s="2511"/>
      <c r="Q70" s="4233">
        <v>0.08</v>
      </c>
      <c r="R70" s="4233"/>
      <c r="S70" s="146"/>
      <c r="T70" s="146"/>
      <c r="U70" s="146"/>
      <c r="AA70" s="40"/>
      <c r="AB70" s="40"/>
    </row>
    <row r="71" spans="1:28" s="96" customFormat="1" ht="11.85" customHeight="1">
      <c r="A71" s="98"/>
      <c r="C71" s="98"/>
      <c r="D71" s="2511"/>
      <c r="E71" s="2511"/>
      <c r="F71" s="98" t="s">
        <v>3586</v>
      </c>
      <c r="H71" s="98"/>
      <c r="I71" s="2511"/>
      <c r="J71" s="98" t="s">
        <v>3585</v>
      </c>
      <c r="K71" s="98"/>
      <c r="L71" s="98"/>
      <c r="M71" s="98"/>
      <c r="N71" s="98"/>
      <c r="O71" s="98"/>
      <c r="P71" s="2511"/>
      <c r="Q71" s="4227">
        <v>0.08</v>
      </c>
      <c r="R71" s="4227"/>
      <c r="S71" s="146"/>
      <c r="T71" s="146"/>
      <c r="U71" s="146"/>
      <c r="AA71" s="40"/>
      <c r="AB71" s="40"/>
    </row>
    <row r="72" spans="1:28" s="96" customFormat="1" ht="11.85" customHeight="1">
      <c r="A72" s="98"/>
      <c r="C72" s="98"/>
      <c r="D72" s="2511"/>
      <c r="E72" s="2511"/>
      <c r="F72" s="98" t="s">
        <v>3587</v>
      </c>
      <c r="H72" s="98"/>
      <c r="I72" s="2511"/>
      <c r="J72" s="98"/>
      <c r="K72" s="98"/>
      <c r="L72" s="98"/>
      <c r="M72" s="98"/>
      <c r="N72" s="98"/>
      <c r="O72" s="98"/>
      <c r="P72" s="2511"/>
      <c r="Q72" s="4263">
        <v>2500</v>
      </c>
      <c r="R72" s="4264"/>
      <c r="S72" s="146"/>
      <c r="T72" s="146"/>
      <c r="U72" s="146"/>
      <c r="AA72" s="40"/>
      <c r="AB72" s="40"/>
    </row>
    <row r="73" spans="1:28" s="96" customFormat="1" ht="11.85" customHeight="1">
      <c r="A73" s="98"/>
      <c r="B73" s="98"/>
      <c r="C73" s="98"/>
      <c r="D73" s="2511"/>
      <c r="E73" s="2511"/>
      <c r="F73" s="98" t="s">
        <v>3588</v>
      </c>
      <c r="I73" s="2511"/>
      <c r="J73" s="98" t="s">
        <v>3528</v>
      </c>
      <c r="K73" s="98"/>
      <c r="L73" s="98"/>
      <c r="M73" s="98"/>
      <c r="N73" s="98"/>
      <c r="O73" s="98"/>
      <c r="P73" s="2511"/>
      <c r="Q73" s="4263">
        <v>8000</v>
      </c>
      <c r="R73" s="4264"/>
      <c r="S73" s="146"/>
      <c r="T73" s="146"/>
      <c r="U73" s="146"/>
      <c r="AA73" s="40"/>
      <c r="AB73" s="40"/>
    </row>
    <row r="74" spans="1:28" s="96" customFormat="1" ht="11.85" customHeight="1">
      <c r="A74" s="98"/>
      <c r="C74" s="98" t="s">
        <v>3589</v>
      </c>
      <c r="D74" s="2511"/>
      <c r="E74" s="2511"/>
      <c r="F74" s="98" t="s">
        <v>3590</v>
      </c>
      <c r="H74" s="98" t="s">
        <v>3591</v>
      </c>
      <c r="I74" s="2511"/>
      <c r="J74" s="98" t="s">
        <v>1131</v>
      </c>
      <c r="K74" s="98"/>
      <c r="L74" s="98"/>
      <c r="M74" s="98"/>
      <c r="N74" s="98"/>
      <c r="O74" s="98"/>
      <c r="P74" s="2511"/>
      <c r="Q74" s="4263">
        <v>800</v>
      </c>
      <c r="R74" s="4264"/>
      <c r="S74" s="146"/>
      <c r="T74" s="146"/>
      <c r="U74" s="146"/>
      <c r="AA74" s="40"/>
      <c r="AB74" s="40"/>
    </row>
    <row r="75" spans="1:28" s="96" customFormat="1" ht="11.85" customHeight="1">
      <c r="A75" s="98"/>
      <c r="C75" s="98"/>
      <c r="D75" s="2511"/>
      <c r="E75" s="2511"/>
      <c r="F75" s="98"/>
      <c r="H75" s="98"/>
      <c r="I75" s="98" t="s">
        <v>3592</v>
      </c>
      <c r="J75" s="98" t="s">
        <v>1131</v>
      </c>
      <c r="K75" s="98"/>
      <c r="L75" s="98"/>
      <c r="M75" s="98"/>
      <c r="N75" s="98"/>
      <c r="O75" s="98"/>
      <c r="P75" s="2511"/>
      <c r="Q75" s="4263">
        <v>1000</v>
      </c>
      <c r="R75" s="4264"/>
      <c r="S75" s="146"/>
      <c r="T75" s="146"/>
      <c r="U75" s="146"/>
      <c r="AA75" s="40"/>
      <c r="AB75" s="40"/>
    </row>
    <row r="76" spans="1:28" s="96" customFormat="1" ht="11.85" customHeight="1">
      <c r="A76" s="98"/>
      <c r="B76" s="98"/>
      <c r="C76" s="98"/>
      <c r="D76" s="2511"/>
      <c r="E76" s="2511"/>
      <c r="H76" s="98" t="s">
        <v>3593</v>
      </c>
      <c r="I76" s="2511"/>
      <c r="J76" s="98" t="s">
        <v>1131</v>
      </c>
      <c r="K76" s="98" t="s">
        <v>3594</v>
      </c>
      <c r="L76" s="98"/>
      <c r="M76" s="98"/>
      <c r="N76" s="98"/>
      <c r="O76" s="98"/>
      <c r="P76" s="2511"/>
      <c r="Q76" s="4253">
        <v>800</v>
      </c>
      <c r="R76" s="4254"/>
      <c r="S76" s="146"/>
      <c r="T76" s="146"/>
      <c r="U76" s="146"/>
      <c r="AA76" s="40"/>
      <c r="AB76" s="40"/>
    </row>
    <row r="77" spans="1:28" s="96" customFormat="1" ht="11.85" customHeight="1">
      <c r="A77" s="98"/>
      <c r="B77" s="98"/>
      <c r="C77" s="98"/>
      <c r="D77" s="2511"/>
      <c r="E77" s="2511"/>
      <c r="H77" s="98" t="s">
        <v>3595</v>
      </c>
      <c r="I77" s="2511"/>
      <c r="J77" s="98" t="s">
        <v>3596</v>
      </c>
      <c r="K77" s="98"/>
      <c r="L77" s="98"/>
      <c r="M77" s="98"/>
      <c r="N77" s="98"/>
      <c r="O77" s="98"/>
      <c r="P77" s="2511"/>
      <c r="Q77" s="4253">
        <v>1500</v>
      </c>
      <c r="R77" s="4254"/>
      <c r="S77" s="146"/>
      <c r="T77" s="146"/>
      <c r="U77" s="146"/>
      <c r="AA77" s="40"/>
      <c r="AB77" s="40"/>
    </row>
    <row r="78" spans="1:28" s="96" customFormat="1" ht="11.85" customHeight="1">
      <c r="A78" s="98"/>
      <c r="B78" s="98"/>
      <c r="C78" s="98"/>
      <c r="D78" s="98"/>
      <c r="E78" s="2511"/>
      <c r="F78" s="98" t="s">
        <v>3597</v>
      </c>
      <c r="H78" s="2511"/>
      <c r="I78" s="2511"/>
      <c r="J78" s="98" t="s">
        <v>3598</v>
      </c>
      <c r="K78" s="98"/>
      <c r="L78" s="98"/>
      <c r="M78" s="98"/>
      <c r="N78" s="98"/>
      <c r="O78" s="98"/>
      <c r="P78" s="2511"/>
      <c r="Q78" s="4246">
        <v>1500</v>
      </c>
      <c r="R78" s="4247"/>
      <c r="S78" s="146"/>
      <c r="T78" s="146"/>
      <c r="U78" s="146"/>
      <c r="AA78" s="40"/>
      <c r="AB78" s="40"/>
    </row>
    <row r="79" spans="1:28" s="96" customFormat="1" ht="11.85" customHeight="1">
      <c r="A79" s="98"/>
      <c r="B79" s="98"/>
      <c r="C79" s="98"/>
      <c r="D79" s="2511"/>
      <c r="E79" s="2511"/>
      <c r="F79" s="98" t="s">
        <v>3599</v>
      </c>
      <c r="I79" s="2511"/>
      <c r="J79" s="98" t="s">
        <v>3600</v>
      </c>
      <c r="K79" s="98"/>
      <c r="L79" s="98"/>
      <c r="M79" s="98"/>
      <c r="N79" s="98"/>
      <c r="O79" s="98"/>
      <c r="P79" s="2511"/>
      <c r="Q79" s="4248">
        <v>750</v>
      </c>
      <c r="R79" s="4249"/>
      <c r="S79" s="146"/>
      <c r="T79" s="146"/>
      <c r="U79" s="146"/>
      <c r="AA79" s="40"/>
      <c r="AB79" s="40"/>
    </row>
    <row r="80" spans="1:28" s="96" customFormat="1" ht="11.85" customHeight="1">
      <c r="A80" s="98"/>
      <c r="B80" s="98"/>
      <c r="C80" s="98"/>
      <c r="D80" s="2511"/>
      <c r="E80" s="2511"/>
      <c r="F80" s="98" t="s">
        <v>3601</v>
      </c>
      <c r="I80" s="2511"/>
      <c r="J80" s="98" t="s">
        <v>3602</v>
      </c>
      <c r="K80" s="98"/>
      <c r="L80" s="98" t="s">
        <v>3603</v>
      </c>
      <c r="M80" s="98"/>
      <c r="N80" s="98"/>
      <c r="O80" s="98"/>
      <c r="P80" s="2511"/>
      <c r="Q80" s="4244">
        <v>75</v>
      </c>
      <c r="R80" s="4245"/>
      <c r="S80" s="146"/>
      <c r="T80" s="146"/>
      <c r="U80" s="146"/>
      <c r="AA80" s="40"/>
      <c r="AB80" s="40"/>
    </row>
    <row r="81" spans="1:28" ht="11.25" customHeight="1">
      <c r="B81" s="98" t="s">
        <v>3604</v>
      </c>
      <c r="F81" s="943" t="s">
        <v>680</v>
      </c>
      <c r="G81" s="146"/>
      <c r="H81" s="146"/>
      <c r="J81" s="98" t="s">
        <v>681</v>
      </c>
      <c r="K81" s="98" t="s">
        <v>682</v>
      </c>
      <c r="L81" s="25"/>
      <c r="M81" s="25"/>
      <c r="N81" s="25"/>
      <c r="O81" s="947" t="s">
        <v>3605</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677</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c r="A92" s="98"/>
      <c r="B92" s="98"/>
      <c r="C92" s="98"/>
      <c r="D92" s="2511"/>
      <c r="E92" s="2511"/>
      <c r="F92" s="98"/>
      <c r="G92" s="98"/>
      <c r="H92" s="98"/>
      <c r="I92" s="2511"/>
      <c r="J92" s="98" t="s">
        <v>3606</v>
      </c>
      <c r="K92" s="98"/>
      <c r="L92" s="98"/>
      <c r="M92" s="98"/>
      <c r="N92" s="98"/>
      <c r="O92" s="98"/>
      <c r="P92" s="2511"/>
      <c r="Q92" s="4244">
        <v>3500000</v>
      </c>
      <c r="R92" s="4245"/>
      <c r="S92" s="146"/>
      <c r="T92" s="146"/>
      <c r="U92" s="146"/>
      <c r="AA92" s="40"/>
      <c r="AB92" s="40"/>
    </row>
    <row r="93" spans="1:28" s="96" customFormat="1" hidden="1">
      <c r="A93" s="98"/>
      <c r="B93" s="98"/>
      <c r="C93" s="98"/>
      <c r="D93" s="2511"/>
      <c r="E93" s="2511"/>
      <c r="F93" s="98" t="s">
        <v>3607</v>
      </c>
      <c r="G93" s="98"/>
      <c r="H93" s="98" t="s">
        <v>1142</v>
      </c>
      <c r="I93" s="2511"/>
      <c r="J93" s="98" t="s">
        <v>3608</v>
      </c>
      <c r="K93" s="98"/>
      <c r="L93" s="98"/>
      <c r="M93" s="98"/>
      <c r="N93" s="98"/>
      <c r="O93" s="98"/>
      <c r="P93" s="2511"/>
      <c r="Q93" s="4241">
        <v>0.15</v>
      </c>
      <c r="R93" s="4242"/>
      <c r="S93" s="146"/>
      <c r="T93" s="146"/>
      <c r="U93" s="146"/>
      <c r="AA93" s="40"/>
      <c r="AB93" s="40"/>
    </row>
    <row r="94" spans="1:28" s="96" customFormat="1" hidden="1">
      <c r="A94" s="98"/>
      <c r="B94" s="215"/>
      <c r="C94" s="98"/>
      <c r="D94" s="2511"/>
      <c r="E94" s="2511"/>
      <c r="F94" s="98"/>
      <c r="G94" s="98"/>
      <c r="H94" s="98" t="s">
        <v>3609</v>
      </c>
      <c r="I94" s="98" t="s">
        <v>3610</v>
      </c>
      <c r="J94" s="98" t="s">
        <v>3611</v>
      </c>
      <c r="K94" s="98"/>
      <c r="L94" s="98"/>
      <c r="M94" s="98"/>
      <c r="N94" s="98"/>
      <c r="O94" s="98"/>
      <c r="P94" s="2511"/>
      <c r="Q94" s="4241">
        <v>0.15</v>
      </c>
      <c r="R94" s="4242"/>
      <c r="S94" s="146"/>
      <c r="T94" s="146"/>
      <c r="U94" s="146"/>
      <c r="AA94" s="40"/>
      <c r="AB94" s="40"/>
    </row>
    <row r="95" spans="1:28" s="96" customFormat="1" hidden="1">
      <c r="A95" s="98"/>
      <c r="B95" s="215"/>
      <c r="C95" s="98"/>
      <c r="D95" s="2511"/>
      <c r="E95" s="2511"/>
      <c r="F95" s="98"/>
      <c r="G95" s="98"/>
      <c r="H95" s="98"/>
      <c r="I95" s="98" t="s">
        <v>3612</v>
      </c>
      <c r="J95" s="98" t="s">
        <v>3613</v>
      </c>
      <c r="K95" s="98"/>
      <c r="L95" s="98"/>
      <c r="M95" s="98"/>
      <c r="N95" s="98"/>
      <c r="O95" s="98"/>
      <c r="P95" s="2511"/>
      <c r="Q95" s="4241">
        <v>0.15</v>
      </c>
      <c r="R95" s="4242"/>
      <c r="S95" s="146"/>
      <c r="T95" s="146"/>
      <c r="U95" s="146"/>
      <c r="AA95" s="40"/>
      <c r="AB95" s="40"/>
    </row>
    <row r="96" spans="1:28" s="96" customFormat="1" hidden="1">
      <c r="A96" s="98"/>
      <c r="B96" s="215"/>
      <c r="C96" s="98"/>
      <c r="D96" s="2511"/>
      <c r="E96" s="2511"/>
      <c r="F96" s="98"/>
      <c r="G96" s="98"/>
      <c r="H96" s="98" t="s">
        <v>3614</v>
      </c>
      <c r="I96" s="2511"/>
      <c r="J96" s="98" t="s">
        <v>3613</v>
      </c>
      <c r="K96" s="98"/>
      <c r="L96" s="98"/>
      <c r="M96" s="98"/>
      <c r="N96" s="98"/>
      <c r="O96" s="98"/>
      <c r="P96" s="2511"/>
      <c r="Q96" s="4241">
        <v>0.15</v>
      </c>
      <c r="R96" s="4242"/>
      <c r="S96" s="146"/>
      <c r="T96" s="146"/>
      <c r="U96" s="146"/>
      <c r="AA96" s="40"/>
      <c r="AB96" s="40"/>
    </row>
    <row r="97" spans="1:28" s="96" customFormat="1" hidden="1">
      <c r="A97" s="98"/>
      <c r="B97" s="215"/>
      <c r="C97" s="98"/>
      <c r="D97" s="2511"/>
      <c r="E97" s="2511"/>
      <c r="F97" s="98"/>
      <c r="G97" s="98"/>
      <c r="H97" s="98"/>
      <c r="I97" s="98" t="s">
        <v>3615</v>
      </c>
      <c r="J97" s="98" t="s">
        <v>3616</v>
      </c>
      <c r="K97" s="98"/>
      <c r="L97" s="98"/>
      <c r="M97" s="98"/>
      <c r="N97" s="98"/>
      <c r="O97" s="98"/>
      <c r="P97" s="2511"/>
      <c r="Q97" s="4241">
        <v>0.15</v>
      </c>
      <c r="R97" s="4242"/>
      <c r="S97" s="146"/>
      <c r="T97" s="146"/>
      <c r="U97" s="146"/>
      <c r="AA97" s="40"/>
      <c r="AB97" s="40"/>
    </row>
    <row r="98" spans="1:28" s="96" customFormat="1" hidden="1">
      <c r="A98" s="98"/>
      <c r="B98" s="215"/>
      <c r="C98" s="98"/>
      <c r="D98" s="2511"/>
      <c r="E98" s="2511"/>
      <c r="F98" s="98" t="s">
        <v>3617</v>
      </c>
      <c r="G98" s="98"/>
      <c r="H98" s="98"/>
      <c r="I98" s="2511"/>
      <c r="J98" s="98" t="s">
        <v>3618</v>
      </c>
      <c r="K98" s="98"/>
      <c r="L98" s="98"/>
      <c r="M98" s="98"/>
      <c r="N98" s="98"/>
      <c r="O98" s="98"/>
      <c r="P98" s="2511"/>
      <c r="Q98" s="4241">
        <v>0.15</v>
      </c>
      <c r="R98" s="4242"/>
      <c r="S98" s="146"/>
      <c r="T98" s="146"/>
      <c r="U98" s="146"/>
      <c r="AA98" s="40"/>
      <c r="AB98" s="40"/>
    </row>
    <row r="99" spans="1:28" s="96" customFormat="1" hidden="1">
      <c r="A99" s="98"/>
      <c r="B99" s="215"/>
      <c r="C99" s="98"/>
      <c r="D99" s="2511"/>
      <c r="E99" s="2511"/>
      <c r="G99" s="98"/>
      <c r="H99" s="98"/>
      <c r="I99" s="2511"/>
      <c r="J99" s="98" t="s">
        <v>3619</v>
      </c>
      <c r="K99" s="98"/>
      <c r="L99" s="98"/>
      <c r="M99" s="98"/>
      <c r="N99" s="98"/>
      <c r="O99" s="98"/>
      <c r="P99" s="2511"/>
      <c r="Q99" s="4241" t="s">
        <v>3620</v>
      </c>
      <c r="R99" s="4242"/>
      <c r="S99" s="146"/>
      <c r="T99" s="146"/>
      <c r="U99" s="146"/>
      <c r="AA99" s="40"/>
      <c r="AB99" s="40"/>
    </row>
    <row r="100" spans="1:28" s="96" customFormat="1" ht="11.25" customHeight="1">
      <c r="A100" s="98"/>
      <c r="B100" s="215"/>
      <c r="C100" s="98"/>
      <c r="D100" s="2511"/>
      <c r="E100" s="2511"/>
      <c r="F100" s="98" t="s">
        <v>3621</v>
      </c>
      <c r="G100" s="98"/>
      <c r="H100" s="98"/>
      <c r="I100" s="2511"/>
      <c r="J100" s="98"/>
      <c r="K100" s="98"/>
      <c r="L100" s="98"/>
      <c r="M100" s="98"/>
      <c r="N100" s="98"/>
      <c r="O100" s="98"/>
      <c r="P100" s="2511"/>
      <c r="Q100" s="4729">
        <v>0</v>
      </c>
      <c r="R100" s="4729">
        <v>15</v>
      </c>
      <c r="S100" s="146"/>
      <c r="T100" s="146"/>
      <c r="U100" s="146"/>
      <c r="AA100" s="40"/>
      <c r="AB100" s="40"/>
    </row>
    <row r="101" spans="1:28" s="96" customFormat="1" ht="11.25" hidden="1" customHeight="1">
      <c r="A101" s="98"/>
      <c r="B101" s="215"/>
      <c r="C101" s="98"/>
      <c r="D101" s="2511"/>
      <c r="E101" s="2511"/>
      <c r="F101" s="98" t="s">
        <v>3622</v>
      </c>
      <c r="G101" s="98"/>
      <c r="I101" s="2511"/>
      <c r="J101" s="98"/>
      <c r="K101" s="98"/>
      <c r="L101" s="98"/>
      <c r="M101" s="98"/>
      <c r="N101" s="98"/>
      <c r="O101" s="98"/>
      <c r="P101" s="2511"/>
      <c r="Q101" s="4726">
        <v>0</v>
      </c>
      <c r="R101" s="4726">
        <v>0.5</v>
      </c>
      <c r="S101" s="146"/>
      <c r="T101" s="146"/>
      <c r="U101" s="146"/>
      <c r="AA101" s="40"/>
      <c r="AB101" s="40"/>
    </row>
    <row r="102" spans="1:28" s="96" customFormat="1" ht="11.25" customHeight="1">
      <c r="A102" s="98"/>
      <c r="B102" s="98" t="s">
        <v>3623</v>
      </c>
      <c r="C102" s="98"/>
      <c r="D102" s="98"/>
      <c r="E102" s="98"/>
      <c r="F102" s="98"/>
      <c r="G102" s="98"/>
      <c r="H102" s="2511"/>
      <c r="I102" s="2511"/>
      <c r="J102" s="98" t="s">
        <v>3624</v>
      </c>
      <c r="K102" s="98"/>
      <c r="L102" s="98"/>
      <c r="M102" s="98"/>
      <c r="N102" s="98"/>
      <c r="O102" s="98"/>
      <c r="P102" s="2511"/>
      <c r="Q102" s="1693">
        <v>6</v>
      </c>
      <c r="R102" s="1693" t="s">
        <v>2133</v>
      </c>
      <c r="S102" s="146"/>
      <c r="T102" s="146"/>
      <c r="U102" s="146"/>
      <c r="AA102" s="40"/>
      <c r="AB102" s="40"/>
    </row>
    <row r="103" spans="1:28" s="96" customFormat="1" ht="11.25" customHeight="1">
      <c r="A103" s="98"/>
      <c r="B103" s="98"/>
      <c r="C103" s="98"/>
      <c r="D103" s="98"/>
      <c r="E103" s="98"/>
      <c r="F103" s="98"/>
      <c r="G103" s="98"/>
      <c r="H103" s="2511"/>
      <c r="I103" s="2511"/>
      <c r="J103" s="98" t="s">
        <v>3625</v>
      </c>
      <c r="K103" s="98"/>
      <c r="L103" s="98"/>
      <c r="M103" s="98"/>
      <c r="N103" s="98"/>
      <c r="O103" s="98"/>
      <c r="P103" s="2511"/>
      <c r="Q103" s="1694">
        <v>6</v>
      </c>
      <c r="R103" s="1694" t="s">
        <v>2133</v>
      </c>
      <c r="S103" s="146"/>
      <c r="T103" s="146"/>
      <c r="U103" s="146"/>
      <c r="AA103" s="40"/>
      <c r="AB103" s="40"/>
    </row>
    <row r="104" spans="1:28" s="96" customFormat="1" ht="11.25" customHeight="1">
      <c r="A104" s="98"/>
      <c r="B104" s="216" t="s">
        <v>3626</v>
      </c>
      <c r="C104" s="98"/>
      <c r="D104" s="2511"/>
      <c r="E104" s="2511"/>
      <c r="F104" s="98"/>
      <c r="G104" s="98"/>
      <c r="I104" s="2511"/>
      <c r="J104" s="98" t="s">
        <v>3627</v>
      </c>
      <c r="K104" s="98"/>
      <c r="L104" s="98"/>
      <c r="M104" s="98"/>
      <c r="N104" s="98"/>
      <c r="O104" s="98"/>
      <c r="P104" s="2511"/>
      <c r="Q104" s="856">
        <v>3</v>
      </c>
      <c r="R104" s="856" t="s">
        <v>2133</v>
      </c>
      <c r="S104" s="146"/>
      <c r="T104" s="146"/>
      <c r="U104" s="146"/>
      <c r="AA104" s="40"/>
      <c r="AB104" s="40"/>
    </row>
    <row r="105" spans="1:28" s="96" customFormat="1" ht="11.85" customHeight="1">
      <c r="A105" s="98"/>
      <c r="B105" s="98" t="s">
        <v>3628</v>
      </c>
      <c r="C105" s="98"/>
      <c r="D105" s="2511"/>
      <c r="E105" s="98"/>
      <c r="F105" s="98"/>
      <c r="G105" s="98"/>
      <c r="H105" s="2511"/>
      <c r="I105" s="2511"/>
      <c r="J105" s="98" t="s">
        <v>3528</v>
      </c>
      <c r="K105" s="98"/>
      <c r="L105" s="98"/>
      <c r="M105" s="98"/>
      <c r="N105" s="98"/>
      <c r="O105" s="98"/>
      <c r="P105" s="2511"/>
      <c r="Q105" s="4244">
        <v>3000</v>
      </c>
      <c r="R105" s="4245"/>
      <c r="S105" s="146"/>
      <c r="T105" s="146"/>
      <c r="U105" s="146"/>
      <c r="AA105" s="40"/>
      <c r="AB105" s="40"/>
    </row>
    <row r="106" spans="1:28" s="96" customFormat="1" ht="11.85" customHeight="1">
      <c r="A106" s="98"/>
      <c r="B106" s="98"/>
      <c r="C106" s="98"/>
      <c r="D106" s="2511"/>
      <c r="E106" s="2511"/>
      <c r="O106" s="98"/>
      <c r="T106" s="142"/>
      <c r="U106" s="2511"/>
      <c r="V106" s="222"/>
      <c r="W106" s="222"/>
      <c r="X106" s="222"/>
      <c r="AA106" s="40"/>
      <c r="AB106" s="40"/>
    </row>
    <row r="107" spans="1:28" s="96" customFormat="1" ht="11.85" customHeight="1">
      <c r="A107" s="137" t="s">
        <v>3504</v>
      </c>
      <c r="B107" s="137"/>
      <c r="C107" s="137"/>
      <c r="D107" s="2511"/>
      <c r="E107" s="2511"/>
      <c r="F107" s="137" t="s">
        <v>3505</v>
      </c>
      <c r="G107" s="137"/>
      <c r="H107" s="2511"/>
      <c r="I107" s="2511"/>
      <c r="J107" s="137" t="s">
        <v>3506</v>
      </c>
      <c r="K107" s="137"/>
      <c r="L107" s="137"/>
      <c r="M107" s="137"/>
      <c r="N107" s="137"/>
      <c r="O107" s="137"/>
      <c r="P107" s="2511"/>
      <c r="Q107" s="99" t="s">
        <v>3172</v>
      </c>
      <c r="R107" s="99" t="s">
        <v>3174</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3629</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85" customHeight="1">
      <c r="B111" s="147" t="s">
        <v>3630</v>
      </c>
      <c r="C111" s="78"/>
      <c r="D111" s="78"/>
      <c r="E111" s="78"/>
      <c r="F111" s="78"/>
      <c r="G111" s="78"/>
      <c r="J111" s="4730">
        <v>1</v>
      </c>
      <c r="K111" s="4730">
        <v>2</v>
      </c>
      <c r="L111" s="4730">
        <v>3</v>
      </c>
      <c r="M111" s="4730">
        <v>4</v>
      </c>
      <c r="N111" s="4730">
        <v>5</v>
      </c>
      <c r="O111" s="4730">
        <v>6</v>
      </c>
      <c r="P111" s="4730">
        <v>7</v>
      </c>
      <c r="Q111" s="4730">
        <v>8</v>
      </c>
    </row>
    <row r="112" spans="1:28" ht="11.25" customHeight="1">
      <c r="B112" s="78"/>
      <c r="C112" s="78"/>
      <c r="D112" s="78"/>
      <c r="E112" s="78"/>
      <c r="F112" s="78"/>
      <c r="G112" s="78"/>
      <c r="J112" s="4731">
        <v>0.7</v>
      </c>
      <c r="K112" s="4731">
        <v>0.8</v>
      </c>
      <c r="L112" s="4731">
        <v>0.9</v>
      </c>
      <c r="M112" s="4732" t="s">
        <v>3631</v>
      </c>
      <c r="N112" s="4731">
        <v>1.08</v>
      </c>
      <c r="O112" s="4731">
        <v>1.1599999999999999</v>
      </c>
      <c r="P112" s="4731">
        <v>1.24</v>
      </c>
      <c r="Q112" s="4731">
        <v>1.32</v>
      </c>
    </row>
    <row r="113" spans="1:28" s="96" customFormat="1" ht="11.85" customHeight="1">
      <c r="A113" s="98"/>
      <c r="B113" s="98" t="s">
        <v>1260</v>
      </c>
      <c r="C113" s="98"/>
      <c r="D113" s="2511"/>
      <c r="E113" s="2511"/>
      <c r="F113" s="2511"/>
      <c r="G113" s="98"/>
      <c r="H113" s="2511"/>
      <c r="I113" s="2511"/>
      <c r="J113" s="98" t="s">
        <v>3632</v>
      </c>
      <c r="K113" s="98"/>
      <c r="L113" s="98"/>
      <c r="M113" s="98"/>
      <c r="N113" s="98"/>
      <c r="O113" s="98"/>
      <c r="P113" s="2511"/>
      <c r="Q113" s="4243">
        <v>0.02</v>
      </c>
      <c r="R113" s="4243"/>
      <c r="S113" s="146"/>
      <c r="T113" s="146"/>
      <c r="U113" s="146"/>
      <c r="AA113" s="40"/>
      <c r="AB113" s="40"/>
    </row>
    <row r="114" spans="1:28" s="146" customFormat="1" ht="11.85" customHeight="1">
      <c r="A114" s="98"/>
      <c r="B114" s="98" t="s">
        <v>3633</v>
      </c>
      <c r="C114" s="98"/>
      <c r="D114" s="98"/>
      <c r="E114" s="98"/>
      <c r="F114" s="98"/>
      <c r="G114" s="98"/>
      <c r="H114" s="98"/>
      <c r="J114" s="98" t="s">
        <v>3634</v>
      </c>
      <c r="K114" s="98"/>
      <c r="L114" s="98"/>
      <c r="M114" s="98"/>
      <c r="N114" s="98"/>
      <c r="O114" s="98"/>
      <c r="Q114" s="4233">
        <v>0.02</v>
      </c>
      <c r="R114" s="4233"/>
      <c r="AA114" s="40"/>
      <c r="AB114" s="40"/>
    </row>
    <row r="115" spans="1:28" s="146" customFormat="1" ht="11.85" customHeight="1">
      <c r="A115" s="98"/>
      <c r="B115" s="98" t="s">
        <v>3635</v>
      </c>
      <c r="C115" s="98"/>
      <c r="D115" s="98"/>
      <c r="E115" s="98"/>
      <c r="F115" s="98" t="s">
        <v>3636</v>
      </c>
      <c r="G115" s="98"/>
      <c r="H115" s="98"/>
      <c r="J115" s="98" t="s">
        <v>3634</v>
      </c>
      <c r="K115" s="98"/>
      <c r="L115" s="98"/>
      <c r="M115" s="98"/>
      <c r="N115" s="98"/>
      <c r="O115" s="98"/>
      <c r="Q115" s="1691">
        <v>7.0000000000000007E-2</v>
      </c>
      <c r="R115" s="1692" t="s">
        <v>1774</v>
      </c>
      <c r="AA115" s="40"/>
      <c r="AB115" s="40"/>
    </row>
    <row r="116" spans="1:28" s="146" customFormat="1" ht="11.85" customHeight="1">
      <c r="A116" s="98"/>
      <c r="B116" s="98"/>
      <c r="C116" s="98"/>
      <c r="D116" s="98"/>
      <c r="E116" s="98"/>
      <c r="F116" s="98" t="s">
        <v>3637</v>
      </c>
      <c r="G116" s="98"/>
      <c r="H116" s="98"/>
      <c r="J116" s="98" t="s">
        <v>3634</v>
      </c>
      <c r="K116" s="98"/>
      <c r="L116" s="98"/>
      <c r="M116" s="98"/>
      <c r="N116" s="98"/>
      <c r="O116" s="98"/>
      <c r="Q116" s="1691">
        <v>7.0000000000000007E-2</v>
      </c>
      <c r="R116" s="1692" t="s">
        <v>1774</v>
      </c>
      <c r="AA116" s="40"/>
      <c r="AB116" s="40"/>
    </row>
    <row r="117" spans="1:28" s="96" customFormat="1" ht="11.85" customHeight="1">
      <c r="A117" s="98"/>
      <c r="B117" s="98" t="s">
        <v>3638</v>
      </c>
      <c r="C117" s="98"/>
      <c r="D117" s="2511"/>
      <c r="E117" s="2511"/>
      <c r="F117" s="2511"/>
      <c r="G117" s="98"/>
      <c r="H117" s="2511"/>
      <c r="I117" s="2511"/>
      <c r="J117" s="98" t="s">
        <v>3634</v>
      </c>
      <c r="K117" s="98"/>
      <c r="L117" s="98"/>
      <c r="M117" s="98"/>
      <c r="N117" s="98"/>
      <c r="O117" s="98"/>
      <c r="P117" s="2511"/>
      <c r="Q117" s="4227">
        <v>0.03</v>
      </c>
      <c r="R117" s="4227"/>
      <c r="S117" s="146"/>
      <c r="T117" s="146"/>
      <c r="U117" s="146"/>
      <c r="AA117" s="40"/>
      <c r="AB117" s="40"/>
    </row>
    <row r="118" spans="1:28" s="96" customFormat="1" ht="11.85" customHeight="1">
      <c r="A118" s="98"/>
      <c r="B118" s="98" t="s">
        <v>3639</v>
      </c>
      <c r="C118" s="98"/>
      <c r="D118" s="2511"/>
      <c r="E118" s="2511"/>
      <c r="F118" s="2511"/>
      <c r="G118" s="98"/>
      <c r="H118" s="2511"/>
      <c r="I118" s="2511"/>
      <c r="J118" s="98" t="s">
        <v>3634</v>
      </c>
      <c r="K118" s="98"/>
      <c r="L118" s="98"/>
      <c r="M118" s="98"/>
      <c r="N118" s="98"/>
      <c r="O118" s="98"/>
      <c r="P118" s="2511"/>
      <c r="Q118" s="4227">
        <v>0.03</v>
      </c>
      <c r="R118" s="4227"/>
      <c r="S118" s="146"/>
      <c r="T118" s="146"/>
      <c r="U118" s="146"/>
      <c r="AA118" s="40"/>
      <c r="AB118" s="40"/>
    </row>
    <row r="119" spans="1:28" s="96" customFormat="1" ht="11.85" customHeight="1">
      <c r="A119" s="98"/>
      <c r="B119" s="98" t="s">
        <v>3640</v>
      </c>
      <c r="C119" s="98"/>
      <c r="D119" s="2511"/>
      <c r="E119" s="2511"/>
      <c r="F119" s="2511"/>
      <c r="G119" s="98"/>
      <c r="H119" s="2511"/>
      <c r="I119" s="2511"/>
      <c r="J119" s="98" t="s">
        <v>3634</v>
      </c>
      <c r="K119" s="98"/>
      <c r="L119" s="98"/>
      <c r="M119" s="98"/>
      <c r="N119" s="98"/>
      <c r="O119" s="98"/>
      <c r="P119" s="2511"/>
      <c r="Q119" s="4228">
        <v>0</v>
      </c>
      <c r="R119" s="4228"/>
      <c r="S119" s="146"/>
      <c r="T119" s="146"/>
      <c r="U119" s="146"/>
      <c r="AA119" s="40"/>
      <c r="AB119" s="40"/>
    </row>
    <row r="120" spans="1:28" s="96" customFormat="1" ht="11.45" customHeight="1">
      <c r="A120" s="2511"/>
      <c r="B120" s="98" t="s">
        <v>3641</v>
      </c>
      <c r="C120" s="98"/>
      <c r="D120" s="98"/>
      <c r="E120" s="2511"/>
      <c r="F120" s="98" t="s">
        <v>3642</v>
      </c>
      <c r="G120" s="98"/>
      <c r="H120" s="2511"/>
      <c r="I120" s="2511"/>
      <c r="J120" s="98" t="s">
        <v>1142</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3547</v>
      </c>
      <c r="K121" s="98"/>
      <c r="L121" s="98"/>
      <c r="M121" s="98"/>
      <c r="N121" s="98"/>
      <c r="O121" s="98"/>
      <c r="P121" s="2511"/>
      <c r="Q121" s="1701">
        <v>1.25</v>
      </c>
      <c r="R121" s="1702"/>
      <c r="S121" s="146"/>
      <c r="T121" s="146"/>
      <c r="U121" s="146"/>
      <c r="AA121" s="40"/>
      <c r="AB121" s="40"/>
    </row>
    <row r="122" spans="1:28" s="96" customFormat="1" ht="11.45" customHeight="1">
      <c r="A122" s="2511"/>
      <c r="B122" s="98" t="s">
        <v>3643</v>
      </c>
      <c r="C122" s="98"/>
      <c r="D122" s="98"/>
      <c r="E122" s="2511"/>
      <c r="F122" s="98"/>
      <c r="G122" s="98"/>
      <c r="H122" s="2511"/>
      <c r="I122" s="2511"/>
      <c r="J122" s="98" t="s">
        <v>1142</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3547</v>
      </c>
      <c r="K123" s="98"/>
      <c r="L123" s="98"/>
      <c r="M123" s="98"/>
      <c r="N123" s="98"/>
      <c r="O123" s="98"/>
      <c r="P123" s="2511"/>
      <c r="Q123" s="1701">
        <v>1.1499999999999999</v>
      </c>
      <c r="R123" s="1702"/>
      <c r="S123" s="146"/>
      <c r="T123" s="146"/>
      <c r="U123" s="146"/>
      <c r="AA123" s="40"/>
      <c r="AB123" s="40"/>
    </row>
    <row r="124" spans="1:28" s="96" customFormat="1" ht="4.5"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85" customHeight="1">
      <c r="A125" s="141" t="s">
        <v>3644</v>
      </c>
      <c r="B125" s="98"/>
      <c r="C125" s="98"/>
      <c r="D125" s="98" t="s">
        <v>3645</v>
      </c>
      <c r="G125" s="98" t="s">
        <v>2114</v>
      </c>
      <c r="I125" s="2511"/>
      <c r="J125" s="150" t="s">
        <v>3646</v>
      </c>
      <c r="K125" s="98"/>
      <c r="L125" s="98"/>
      <c r="M125" s="98"/>
      <c r="N125" s="98"/>
      <c r="P125" s="2511"/>
      <c r="Q125" s="4229"/>
      <c r="R125" s="4229"/>
      <c r="S125" s="4229"/>
      <c r="T125" s="4229"/>
      <c r="U125" s="2511"/>
      <c r="V125" s="540"/>
      <c r="W125" s="540"/>
      <c r="X125" s="99"/>
      <c r="AA125" s="40"/>
      <c r="AB125" s="40"/>
    </row>
    <row r="126" spans="1:28" s="96" customFormat="1" ht="11.85" customHeight="1">
      <c r="A126" s="141"/>
      <c r="B126" s="98"/>
      <c r="C126" s="98"/>
      <c r="D126" s="2511"/>
      <c r="F126" s="98"/>
      <c r="G126" s="98" t="s">
        <v>3647</v>
      </c>
      <c r="I126" s="2511"/>
      <c r="J126" s="150" t="s">
        <v>3648</v>
      </c>
      <c r="K126" s="98"/>
      <c r="L126" s="98"/>
      <c r="M126" s="98"/>
      <c r="P126" s="2511"/>
      <c r="Q126" s="4229"/>
      <c r="R126" s="4229"/>
      <c r="S126" s="4229"/>
      <c r="T126" s="4229"/>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85" customHeight="1">
      <c r="A128" s="141"/>
      <c r="B128" s="98"/>
      <c r="C128" s="98"/>
      <c r="D128" s="98" t="s">
        <v>3649</v>
      </c>
      <c r="F128" s="98" t="s">
        <v>3517</v>
      </c>
      <c r="G128" s="98" t="s">
        <v>3650</v>
      </c>
      <c r="I128" s="2511"/>
      <c r="J128" s="98" t="s">
        <v>3651</v>
      </c>
      <c r="K128" s="98"/>
      <c r="L128" s="98"/>
      <c r="M128" s="98"/>
      <c r="N128" s="98"/>
      <c r="O128" s="98"/>
      <c r="P128" s="2511"/>
      <c r="Q128" s="4239">
        <v>0.15</v>
      </c>
      <c r="R128" s="4239"/>
      <c r="S128" s="2511"/>
      <c r="T128" s="2511"/>
      <c r="U128" s="2511"/>
      <c r="V128" s="540"/>
      <c r="W128" s="540"/>
      <c r="X128" s="99"/>
      <c r="AA128" s="40"/>
      <c r="AB128" s="40"/>
    </row>
    <row r="129" spans="1:28" s="96" customFormat="1" ht="11.85" customHeight="1">
      <c r="A129" s="98"/>
      <c r="B129" s="98"/>
      <c r="C129" s="98"/>
      <c r="D129" s="2511"/>
      <c r="E129" s="2511"/>
      <c r="F129" s="98"/>
      <c r="G129" s="98" t="s">
        <v>2090</v>
      </c>
      <c r="H129" s="98" t="s">
        <v>3652</v>
      </c>
      <c r="J129" s="98" t="s">
        <v>3653</v>
      </c>
      <c r="K129" s="98"/>
      <c r="L129" s="98"/>
      <c r="M129" s="98"/>
      <c r="O129" s="143" t="s">
        <v>3654</v>
      </c>
      <c r="P129" s="2511"/>
      <c r="Q129" s="4240">
        <v>1105000</v>
      </c>
      <c r="R129" s="4240"/>
      <c r="S129" s="142"/>
      <c r="T129" s="142"/>
      <c r="U129" s="2511"/>
      <c r="V129" s="222"/>
      <c r="W129" s="222"/>
      <c r="X129" s="222"/>
      <c r="AA129" s="40"/>
      <c r="AB129" s="40"/>
    </row>
    <row r="130" spans="1:28" s="96" customFormat="1" ht="11.85" customHeight="1">
      <c r="A130" s="98"/>
      <c r="B130" s="98"/>
      <c r="C130" s="98"/>
      <c r="D130" s="2511"/>
      <c r="E130" s="2511"/>
      <c r="F130" s="98"/>
      <c r="G130" s="98"/>
      <c r="H130" s="98" t="s">
        <v>3655</v>
      </c>
      <c r="J130" s="98" t="s">
        <v>3653</v>
      </c>
      <c r="K130" s="98"/>
      <c r="L130" s="98"/>
      <c r="M130" s="98"/>
      <c r="O130" s="143" t="s">
        <v>3656</v>
      </c>
      <c r="P130" s="2511"/>
      <c r="Q130" s="4230">
        <v>1225000</v>
      </c>
      <c r="R130" s="4230"/>
      <c r="S130" s="142"/>
      <c r="T130" s="142"/>
      <c r="U130" s="2511"/>
      <c r="V130" s="222"/>
      <c r="W130" s="222"/>
      <c r="X130" s="222"/>
      <c r="AA130" s="40"/>
      <c r="AB130" s="40"/>
    </row>
    <row r="131" spans="1:28" s="96" customFormat="1" ht="11.85" customHeight="1">
      <c r="A131" s="98"/>
      <c r="B131" s="98"/>
      <c r="C131" s="98"/>
      <c r="D131" s="2511"/>
      <c r="E131" s="2511"/>
      <c r="F131" s="98"/>
      <c r="G131" s="98"/>
      <c r="H131" s="98" t="s">
        <v>3657</v>
      </c>
      <c r="I131" s="2511"/>
      <c r="J131" s="98" t="s">
        <v>3653</v>
      </c>
      <c r="K131" s="98"/>
      <c r="O131" s="143" t="s">
        <v>3658</v>
      </c>
      <c r="Q131" s="4230">
        <v>1105000</v>
      </c>
      <c r="R131" s="4230"/>
      <c r="S131" s="142"/>
      <c r="T131" s="142"/>
      <c r="U131" s="2511"/>
      <c r="V131" s="222"/>
      <c r="W131" s="222"/>
      <c r="X131" s="222"/>
      <c r="AA131" s="40"/>
      <c r="AB131" s="40"/>
    </row>
    <row r="132" spans="1:28" s="96" customFormat="1" ht="11.85" customHeight="1">
      <c r="A132" s="98"/>
      <c r="B132" s="98"/>
      <c r="C132" s="98"/>
      <c r="D132" s="2511"/>
      <c r="E132" s="2511"/>
      <c r="F132" s="98"/>
      <c r="G132" s="98"/>
      <c r="H132" s="98" t="s">
        <v>3659</v>
      </c>
      <c r="I132" s="2511"/>
      <c r="J132" s="98" t="s">
        <v>3653</v>
      </c>
      <c r="K132" s="98"/>
      <c r="O132" s="143" t="s">
        <v>3656</v>
      </c>
      <c r="Q132" s="4231">
        <v>1105000</v>
      </c>
      <c r="R132" s="4232"/>
      <c r="S132" s="142"/>
      <c r="T132" s="142"/>
      <c r="U132" s="2511"/>
      <c r="V132" s="222"/>
      <c r="W132" s="222"/>
      <c r="X132" s="222"/>
      <c r="AA132" s="40"/>
      <c r="AB132" s="40"/>
    </row>
    <row r="133" spans="1:28" s="96" customFormat="1" ht="11.85" customHeight="1">
      <c r="A133" s="98"/>
      <c r="B133" s="98"/>
      <c r="C133" s="98"/>
      <c r="D133" s="2511"/>
      <c r="E133" s="2511"/>
      <c r="F133" s="98"/>
      <c r="G133" s="98" t="s">
        <v>1237</v>
      </c>
      <c r="H133" s="137" t="s">
        <v>3660</v>
      </c>
      <c r="I133" s="2511"/>
      <c r="J133" s="137" t="s">
        <v>3651</v>
      </c>
      <c r="K133" s="98"/>
      <c r="L133" s="98"/>
      <c r="M133" s="98"/>
      <c r="O133" s="98"/>
      <c r="P133" s="98"/>
      <c r="Q133" s="98"/>
      <c r="R133" s="98"/>
      <c r="S133" s="142"/>
      <c r="T133" s="142"/>
      <c r="U133" s="2511"/>
      <c r="V133" s="222"/>
      <c r="W133" s="222"/>
      <c r="X133" s="222"/>
      <c r="AA133" s="40"/>
      <c r="AB133" s="40"/>
    </row>
    <row r="134" spans="1:28" ht="12.75" customHeight="1">
      <c r="G134" s="1556"/>
      <c r="H134" s="98" t="s">
        <v>1747</v>
      </c>
      <c r="J134" s="4233">
        <v>0.35</v>
      </c>
      <c r="K134" s="4233"/>
      <c r="L134" s="98"/>
      <c r="M134" s="98"/>
      <c r="N134" s="98"/>
      <c r="O134" s="98"/>
      <c r="P134" s="98"/>
      <c r="Q134" s="98"/>
      <c r="R134" s="98"/>
    </row>
    <row r="135" spans="1:28" ht="11.25" customHeight="1">
      <c r="G135" s="98"/>
      <c r="H135" s="98" t="s">
        <v>3661</v>
      </c>
      <c r="I135" s="2511"/>
      <c r="J135" s="4227">
        <v>0.35</v>
      </c>
      <c r="K135" s="4227"/>
      <c r="L135" s="98"/>
      <c r="M135" s="98"/>
      <c r="N135" s="98"/>
      <c r="O135" s="98"/>
      <c r="P135" s="98"/>
      <c r="Q135" s="98"/>
      <c r="R135" s="98"/>
    </row>
    <row r="136" spans="1:28" ht="11.25" customHeight="1">
      <c r="A136" s="141"/>
      <c r="G136" s="98"/>
      <c r="H136" s="98" t="s">
        <v>3662</v>
      </c>
      <c r="I136" s="2511"/>
      <c r="J136" s="4224">
        <v>0.3</v>
      </c>
      <c r="K136" s="4224"/>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3663</v>
      </c>
      <c r="E138" s="2511"/>
      <c r="G138" s="98" t="s">
        <v>3664</v>
      </c>
      <c r="I138" s="2511"/>
      <c r="J138" s="98" t="s">
        <v>3665</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3666</v>
      </c>
      <c r="I139" s="2511"/>
      <c r="J139" s="98" t="s">
        <v>3667</v>
      </c>
      <c r="P139" s="498" t="s">
        <v>3668</v>
      </c>
      <c r="Q139" s="4234">
        <v>30000000</v>
      </c>
      <c r="R139" s="4234"/>
      <c r="S139" s="2511"/>
      <c r="T139" s="2511"/>
      <c r="U139" s="2511"/>
      <c r="V139" s="540"/>
      <c r="W139" s="540"/>
      <c r="X139" s="99"/>
      <c r="AA139" s="40"/>
      <c r="AB139" s="40"/>
    </row>
    <row r="140" spans="1:28" s="96" customFormat="1" ht="11.25" customHeight="1">
      <c r="A140" s="141"/>
      <c r="B140" s="98"/>
      <c r="C140" s="98"/>
      <c r="D140" s="2511"/>
      <c r="E140" s="2511"/>
      <c r="G140" s="98" t="s">
        <v>3669</v>
      </c>
      <c r="I140" s="2511"/>
      <c r="J140" s="98" t="s">
        <v>3670</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3671</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85" customHeight="1">
      <c r="A143" s="98"/>
      <c r="B143" s="98"/>
      <c r="C143" s="98"/>
      <c r="D143" s="2511"/>
      <c r="E143" s="2511"/>
      <c r="G143" s="98" t="s">
        <v>3672</v>
      </c>
      <c r="H143" s="98"/>
      <c r="I143" s="2511"/>
      <c r="J143" s="98" t="s">
        <v>3673</v>
      </c>
      <c r="K143" s="98"/>
      <c r="L143" s="98"/>
      <c r="M143" s="98"/>
      <c r="N143" s="98"/>
      <c r="O143" s="98"/>
      <c r="P143" s="2511"/>
      <c r="Q143" s="4235"/>
      <c r="R143" s="4236"/>
      <c r="S143" s="142"/>
      <c r="T143" s="142"/>
      <c r="U143" s="2511"/>
      <c r="V143" s="222"/>
      <c r="W143" s="222"/>
      <c r="X143" s="222"/>
      <c r="AA143" s="40"/>
      <c r="AB143" s="40"/>
    </row>
    <row r="144" spans="1:28" s="96" customFormat="1" ht="11.85" customHeight="1">
      <c r="A144" s="98"/>
      <c r="B144" s="98"/>
      <c r="C144" s="98"/>
      <c r="D144" s="2511"/>
      <c r="E144" s="2511"/>
      <c r="F144" s="98" t="s">
        <v>3277</v>
      </c>
      <c r="G144" s="98" t="s">
        <v>2138</v>
      </c>
      <c r="I144" s="2511"/>
      <c r="J144" s="98" t="s">
        <v>3674</v>
      </c>
      <c r="K144" s="98"/>
      <c r="L144" s="98"/>
      <c r="M144" s="98"/>
      <c r="N144" s="98"/>
      <c r="O144" s="98"/>
      <c r="P144" s="2511"/>
      <c r="Q144" s="4237">
        <v>4000000</v>
      </c>
      <c r="R144" s="4237"/>
      <c r="S144" s="142"/>
      <c r="T144" s="142"/>
      <c r="U144" s="2511"/>
      <c r="V144" s="222"/>
      <c r="W144" s="222"/>
      <c r="X144" s="222"/>
      <c r="AA144" s="40"/>
      <c r="AB144" s="40"/>
    </row>
    <row r="145" spans="1:28" s="96" customFormat="1" ht="11.85" customHeight="1">
      <c r="A145" s="98"/>
      <c r="B145" s="98"/>
      <c r="C145" s="98"/>
      <c r="D145" s="2511"/>
      <c r="E145" s="2511"/>
      <c r="F145" s="98"/>
      <c r="G145" s="98" t="s">
        <v>3675</v>
      </c>
      <c r="H145" s="2511"/>
      <c r="I145" s="2511"/>
      <c r="J145" s="98" t="s">
        <v>3653</v>
      </c>
      <c r="K145" s="98"/>
      <c r="O145" s="98" t="s">
        <v>3676</v>
      </c>
      <c r="Q145" s="4231">
        <v>1035000</v>
      </c>
      <c r="R145" s="4232"/>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3677</v>
      </c>
      <c r="B147" s="98"/>
      <c r="C147" s="98"/>
      <c r="D147" s="2511"/>
      <c r="E147" s="2511"/>
      <c r="F147" s="98" t="s">
        <v>3678</v>
      </c>
      <c r="G147" s="98"/>
      <c r="H147" s="2511"/>
      <c r="I147" s="2511"/>
      <c r="J147" s="98" t="s">
        <v>3679</v>
      </c>
      <c r="K147" s="98"/>
      <c r="L147" s="98"/>
      <c r="M147" s="98"/>
      <c r="N147" s="98"/>
      <c r="O147" s="98"/>
      <c r="P147" s="2511"/>
      <c r="Q147" s="4238">
        <v>0.05</v>
      </c>
      <c r="R147" s="4238"/>
      <c r="S147" s="2511"/>
      <c r="T147" s="2511"/>
      <c r="U147" s="2511"/>
      <c r="V147" s="540"/>
      <c r="W147" s="540"/>
      <c r="X147" s="99"/>
      <c r="AA147" s="40"/>
      <c r="AB147" s="40"/>
    </row>
    <row r="148" spans="1:28" s="96" customFormat="1" ht="12.75" customHeight="1">
      <c r="A148" s="141"/>
      <c r="B148" s="98"/>
      <c r="C148" s="98"/>
      <c r="D148" s="2511"/>
      <c r="E148" s="2511"/>
      <c r="F148" s="98"/>
      <c r="G148" s="98" t="s">
        <v>3680</v>
      </c>
      <c r="H148" s="2511"/>
      <c r="I148" s="2511"/>
      <c r="J148" s="98" t="s">
        <v>3681</v>
      </c>
      <c r="K148" s="98"/>
      <c r="L148" s="98"/>
      <c r="M148" s="98"/>
      <c r="N148" s="98"/>
      <c r="O148" s="98"/>
      <c r="P148" s="2511"/>
      <c r="Q148" s="4225">
        <v>0.4</v>
      </c>
      <c r="R148" s="4225"/>
      <c r="S148" s="2511"/>
      <c r="T148" s="2511"/>
      <c r="U148" s="2511"/>
      <c r="V148" s="540"/>
      <c r="W148" s="540"/>
      <c r="X148" s="99"/>
      <c r="AA148" s="40"/>
      <c r="AB148" s="40"/>
    </row>
    <row r="149" spans="1:28" s="96" customFormat="1" ht="12.75" customHeight="1">
      <c r="A149" s="141"/>
      <c r="B149" s="98"/>
      <c r="C149" s="98"/>
      <c r="E149" s="2511"/>
      <c r="F149" s="98" t="s">
        <v>3682</v>
      </c>
      <c r="G149" s="98"/>
      <c r="H149" s="2511"/>
      <c r="I149" s="2511"/>
      <c r="J149" s="98" t="s">
        <v>3679</v>
      </c>
      <c r="K149" s="98"/>
      <c r="L149" s="98"/>
      <c r="M149" s="98"/>
      <c r="N149" s="98"/>
      <c r="O149" s="98"/>
      <c r="P149" s="2511"/>
      <c r="Q149" s="4226">
        <v>0.02</v>
      </c>
      <c r="R149" s="4226"/>
      <c r="S149" s="2511"/>
      <c r="T149" s="2511"/>
      <c r="U149" s="2511"/>
      <c r="V149" s="540"/>
      <c r="W149" s="540"/>
      <c r="X149" s="99"/>
      <c r="AA149" s="40"/>
      <c r="AB149" s="40"/>
    </row>
    <row r="150" spans="1:28" s="96" customFormat="1" ht="12.75" customHeight="1">
      <c r="A150" s="4219" t="s">
        <v>3683</v>
      </c>
      <c r="B150" s="4219"/>
      <c r="C150" s="1553"/>
      <c r="D150" s="4220" t="s">
        <v>3684</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5" customHeight="1">
      <c r="A151" s="4219"/>
      <c r="B151" s="4219"/>
      <c r="C151" s="1689">
        <v>2024</v>
      </c>
      <c r="D151" s="4221"/>
      <c r="E151" s="148"/>
      <c r="F151" s="148"/>
      <c r="G151" s="148"/>
      <c r="H151" s="148"/>
      <c r="I151" s="148"/>
    </row>
    <row r="152" spans="1:28">
      <c r="A152" s="4219"/>
      <c r="B152" s="4219"/>
      <c r="C152" s="98"/>
      <c r="D152" s="4221"/>
      <c r="H152" s="4222" t="s">
        <v>3685</v>
      </c>
      <c r="J152" s="93" t="s">
        <v>3686</v>
      </c>
      <c r="K152" s="93"/>
      <c r="L152" s="135"/>
    </row>
    <row r="153" spans="1:28">
      <c r="A153" s="4219"/>
      <c r="B153" s="4219"/>
      <c r="C153" s="540" t="s">
        <v>3687</v>
      </c>
      <c r="D153" s="950" t="s">
        <v>1250</v>
      </c>
      <c r="F153" s="540" t="s">
        <v>3688</v>
      </c>
      <c r="H153" s="4223"/>
      <c r="J153" s="214" t="s">
        <v>3687</v>
      </c>
      <c r="K153" s="214" t="s">
        <v>3689</v>
      </c>
      <c r="L153" s="2522" t="s">
        <v>3690</v>
      </c>
    </row>
    <row r="154" spans="1:28" ht="10.5" customHeight="1">
      <c r="C154" s="222">
        <v>0</v>
      </c>
      <c r="D154" s="502">
        <v>72088</v>
      </c>
      <c r="E154" s="2577" t="s">
        <v>3691</v>
      </c>
      <c r="F154" s="1552">
        <v>2.4</v>
      </c>
      <c r="G154" s="2585" t="s">
        <v>746</v>
      </c>
      <c r="H154" s="1554">
        <f>D154*F154</f>
        <v>173011.19999999998</v>
      </c>
      <c r="J154" s="222">
        <v>0</v>
      </c>
      <c r="K154" s="222">
        <v>0.7</v>
      </c>
      <c r="L154" s="222">
        <v>1</v>
      </c>
    </row>
    <row r="155" spans="1:28" ht="10.5" customHeight="1">
      <c r="C155" s="222">
        <v>1</v>
      </c>
      <c r="D155" s="502">
        <v>82638</v>
      </c>
      <c r="E155" s="2577" t="s">
        <v>3691</v>
      </c>
      <c r="F155" s="1552">
        <v>2.4</v>
      </c>
      <c r="G155" s="2585" t="s">
        <v>746</v>
      </c>
      <c r="H155" s="1554">
        <f t="shared" ref="H155:H158" si="0">D155*F155</f>
        <v>198331.19999999998</v>
      </c>
      <c r="J155" s="222">
        <v>1</v>
      </c>
      <c r="K155" s="222">
        <v>0.75</v>
      </c>
      <c r="L155" s="222">
        <v>1.5</v>
      </c>
    </row>
    <row r="156" spans="1:28" ht="10.5" customHeight="1">
      <c r="C156" s="222">
        <v>2</v>
      </c>
      <c r="D156" s="502">
        <v>100490</v>
      </c>
      <c r="E156" s="2577" t="s">
        <v>3691</v>
      </c>
      <c r="F156" s="1552">
        <v>2.4</v>
      </c>
      <c r="G156" s="2585" t="s">
        <v>746</v>
      </c>
      <c r="H156" s="1554">
        <f t="shared" si="0"/>
        <v>241176</v>
      </c>
      <c r="J156" s="222">
        <v>2</v>
      </c>
      <c r="K156" s="222">
        <v>0.9</v>
      </c>
      <c r="L156" s="222">
        <v>3</v>
      </c>
    </row>
    <row r="157" spans="1:28" ht="10.5" customHeight="1">
      <c r="C157" s="222">
        <v>3</v>
      </c>
      <c r="D157" s="502">
        <v>130002</v>
      </c>
      <c r="E157" s="2577" t="s">
        <v>3691</v>
      </c>
      <c r="F157" s="1552">
        <v>2.4</v>
      </c>
      <c r="G157" s="2585" t="s">
        <v>746</v>
      </c>
      <c r="H157" s="1554">
        <f t="shared" si="0"/>
        <v>312004.8</v>
      </c>
      <c r="J157" s="222">
        <v>3</v>
      </c>
      <c r="K157" s="222">
        <v>1.04</v>
      </c>
      <c r="L157" s="222">
        <v>4.5</v>
      </c>
    </row>
    <row r="158" spans="1:28" ht="10.5" customHeight="1">
      <c r="C158" s="222" t="s">
        <v>2728</v>
      </c>
      <c r="D158" s="502">
        <v>142701</v>
      </c>
      <c r="E158" s="2577" t="s">
        <v>3691</v>
      </c>
      <c r="F158" s="1552">
        <v>2.4</v>
      </c>
      <c r="G158" s="2585" t="s">
        <v>746</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3692</v>
      </c>
      <c r="E162" s="146"/>
      <c r="F162" s="146"/>
    </row>
    <row r="163" spans="2:37" ht="10.5" customHeight="1">
      <c r="C163" s="2973"/>
      <c r="E163" s="146"/>
      <c r="F163" s="146"/>
    </row>
    <row r="164" spans="2:37" ht="10.5" customHeight="1">
      <c r="C164" s="2973"/>
      <c r="D164" s="704"/>
      <c r="E164" s="343"/>
      <c r="F164" s="146"/>
    </row>
    <row r="165" spans="2:37" ht="39.75" customHeight="1">
      <c r="C165" s="275" t="s">
        <v>1128</v>
      </c>
      <c r="D165" s="213"/>
      <c r="E165" s="146"/>
      <c r="F165" s="315" t="s">
        <v>206</v>
      </c>
      <c r="G165" s="315" t="s">
        <v>2064</v>
      </c>
      <c r="H165" s="315" t="s">
        <v>3693</v>
      </c>
      <c r="I165" s="315" t="s">
        <v>3694</v>
      </c>
      <c r="J165" s="315" t="s">
        <v>3695</v>
      </c>
      <c r="K165" s="315" t="s">
        <v>3696</v>
      </c>
      <c r="L165" s="316" t="s">
        <v>3697</v>
      </c>
      <c r="M165" s="1517" t="s">
        <v>3698</v>
      </c>
      <c r="N165" s="316" t="s">
        <v>3699</v>
      </c>
      <c r="O165" s="316" t="s">
        <v>3700</v>
      </c>
      <c r="P165" s="315" t="s">
        <v>3701</v>
      </c>
      <c r="Q165" s="315"/>
      <c r="R165" s="98"/>
      <c r="S165" s="146"/>
      <c r="T165" s="851" t="s">
        <v>58</v>
      </c>
      <c r="U165" s="317" t="s">
        <v>60</v>
      </c>
      <c r="W165" s="335"/>
      <c r="Z165" s="25"/>
      <c r="AA165" s="25"/>
      <c r="AB165" s="77"/>
      <c r="AC165" s="40"/>
      <c r="AD165" s="40"/>
      <c r="AE165" s="77"/>
      <c r="AF165" s="77"/>
      <c r="AG165" s="77"/>
      <c r="AH165" s="77"/>
      <c r="AI165" s="77"/>
      <c r="AJ165" s="77"/>
      <c r="AK165" s="77"/>
    </row>
    <row r="166" spans="2:37" ht="10.5" customHeight="1">
      <c r="B166" s="146"/>
      <c r="C166" s="211" t="s">
        <v>2128</v>
      </c>
      <c r="D166" s="247"/>
      <c r="E166" s="146"/>
      <c r="F166" s="146" t="s">
        <v>304</v>
      </c>
      <c r="G166" s="600" t="s">
        <v>3702</v>
      </c>
      <c r="H166" s="600" t="s">
        <v>3703</v>
      </c>
      <c r="I166" s="601" t="s">
        <v>3704</v>
      </c>
      <c r="J166" s="601" t="s">
        <v>3544</v>
      </c>
      <c r="K166" s="602" t="s">
        <v>3705</v>
      </c>
      <c r="L166" s="603" t="s">
        <v>3706</v>
      </c>
      <c r="M166" s="1518" t="s">
        <v>1747</v>
      </c>
      <c r="N166" s="603" t="s">
        <v>2736</v>
      </c>
      <c r="O166" s="754" t="s">
        <v>3707</v>
      </c>
      <c r="P166" s="150" t="s">
        <v>3708</v>
      </c>
      <c r="Q166" s="150"/>
      <c r="R166" s="98"/>
      <c r="S166" s="146"/>
      <c r="T166" s="284" t="s">
        <v>3709</v>
      </c>
      <c r="U166" s="284" t="s">
        <v>3710</v>
      </c>
      <c r="W166" s="25"/>
      <c r="X166" s="25"/>
      <c r="Z166" s="25"/>
      <c r="AA166" s="77"/>
      <c r="AB166" s="77"/>
      <c r="AC166" s="274"/>
      <c r="AD166" s="40"/>
      <c r="AE166" s="77"/>
      <c r="AF166" s="77"/>
      <c r="AG166" s="77"/>
      <c r="AH166" s="77"/>
      <c r="AI166" s="77"/>
      <c r="AJ166" s="77"/>
      <c r="AK166" s="77"/>
    </row>
    <row r="167" spans="2:37" ht="10.5" customHeight="1">
      <c r="B167" s="146"/>
      <c r="C167" s="211" t="s">
        <v>3704</v>
      </c>
      <c r="D167" s="247"/>
      <c r="E167" s="146"/>
      <c r="F167" s="146" t="s">
        <v>303</v>
      </c>
      <c r="G167" s="600" t="s">
        <v>3711</v>
      </c>
      <c r="H167" s="600" t="s">
        <v>3703</v>
      </c>
      <c r="I167" s="601" t="s">
        <v>3712</v>
      </c>
      <c r="J167" s="601" t="s">
        <v>3544</v>
      </c>
      <c r="K167" s="602" t="s">
        <v>3713</v>
      </c>
      <c r="L167" s="603" t="s">
        <v>3706</v>
      </c>
      <c r="M167" s="1518" t="s">
        <v>1747</v>
      </c>
      <c r="N167" s="603" t="s">
        <v>2214</v>
      </c>
      <c r="O167" s="754" t="s">
        <v>3714</v>
      </c>
      <c r="P167" s="150" t="s">
        <v>3715</v>
      </c>
      <c r="Q167" s="150"/>
      <c r="R167" s="98"/>
      <c r="S167" s="146"/>
      <c r="T167" s="284" t="s">
        <v>3716</v>
      </c>
      <c r="U167" s="284" t="s">
        <v>3717</v>
      </c>
      <c r="W167" s="25"/>
      <c r="X167" s="25"/>
      <c r="Z167" s="25"/>
      <c r="AA167" s="77"/>
      <c r="AB167" s="77"/>
      <c r="AC167" s="274"/>
      <c r="AD167" s="40"/>
      <c r="AE167" s="77"/>
      <c r="AF167" s="77"/>
      <c r="AG167" s="77"/>
      <c r="AH167" s="77"/>
      <c r="AI167" s="77"/>
      <c r="AJ167" s="77"/>
      <c r="AK167" s="77"/>
    </row>
    <row r="168" spans="2:37" ht="10.5" customHeight="1">
      <c r="B168" s="146"/>
      <c r="C168" s="211" t="s">
        <v>2136</v>
      </c>
      <c r="D168" s="247"/>
      <c r="E168" s="146"/>
      <c r="F168" s="146" t="s">
        <v>306</v>
      </c>
      <c r="G168" s="600" t="s">
        <v>3718</v>
      </c>
      <c r="H168" s="600" t="s">
        <v>3703</v>
      </c>
      <c r="I168" s="601" t="s">
        <v>3719</v>
      </c>
      <c r="J168" s="601" t="s">
        <v>3544</v>
      </c>
      <c r="K168" s="602" t="s">
        <v>3720</v>
      </c>
      <c r="L168" s="603" t="s">
        <v>3706</v>
      </c>
      <c r="M168" s="1518" t="s">
        <v>1747</v>
      </c>
      <c r="N168" s="603" t="s">
        <v>2214</v>
      </c>
      <c r="O168" s="754" t="s">
        <v>3721</v>
      </c>
      <c r="P168" s="150" t="s">
        <v>3722</v>
      </c>
      <c r="Q168" s="150"/>
      <c r="R168" s="98"/>
      <c r="S168" s="146"/>
      <c r="T168" s="284" t="s">
        <v>3723</v>
      </c>
      <c r="U168" s="284" t="s">
        <v>123</v>
      </c>
      <c r="W168" s="25"/>
      <c r="X168" s="25"/>
      <c r="Z168" s="25"/>
      <c r="AA168" s="77"/>
      <c r="AB168" s="77"/>
      <c r="AC168" s="274"/>
      <c r="AD168" s="40"/>
      <c r="AE168" s="77"/>
      <c r="AF168" s="77"/>
      <c r="AG168" s="77"/>
      <c r="AH168" s="77"/>
      <c r="AI168" s="77"/>
      <c r="AJ168" s="77"/>
      <c r="AK168" s="77"/>
    </row>
    <row r="169" spans="2:37" ht="10.5" customHeight="1">
      <c r="B169" s="146"/>
      <c r="C169" s="211" t="s">
        <v>3712</v>
      </c>
      <c r="D169" s="247"/>
      <c r="E169" s="146"/>
      <c r="F169" s="146" t="s">
        <v>305</v>
      </c>
      <c r="G169" s="600" t="s">
        <v>3724</v>
      </c>
      <c r="H169" s="600" t="s">
        <v>3703</v>
      </c>
      <c r="I169" s="604" t="s">
        <v>3725</v>
      </c>
      <c r="J169" s="604" t="s">
        <v>3544</v>
      </c>
      <c r="K169" s="602" t="s">
        <v>3726</v>
      </c>
      <c r="L169" s="603" t="s">
        <v>3727</v>
      </c>
      <c r="M169" s="1518" t="s">
        <v>3541</v>
      </c>
      <c r="N169" s="603" t="s">
        <v>2128</v>
      </c>
      <c r="O169" s="754" t="s">
        <v>3728</v>
      </c>
      <c r="P169" s="150" t="s">
        <v>3729</v>
      </c>
      <c r="Q169" s="150"/>
      <c r="R169" s="98"/>
      <c r="S169" s="146"/>
      <c r="T169" s="284" t="s">
        <v>3730</v>
      </c>
      <c r="U169" s="284" t="s">
        <v>3731</v>
      </c>
      <c r="W169" s="25"/>
      <c r="X169" s="25"/>
      <c r="Z169" s="25"/>
      <c r="AA169" s="77"/>
      <c r="AB169" s="77"/>
      <c r="AC169" s="274"/>
      <c r="AD169" s="40"/>
      <c r="AE169" s="77"/>
      <c r="AF169" s="77"/>
      <c r="AG169" s="77"/>
      <c r="AH169" s="77"/>
      <c r="AI169" s="77"/>
      <c r="AJ169" s="77"/>
      <c r="AK169" s="77"/>
    </row>
    <row r="170" spans="2:37" ht="10.5" customHeight="1">
      <c r="B170" s="146"/>
      <c r="C170" s="211" t="s">
        <v>3732</v>
      </c>
      <c r="D170" s="247"/>
      <c r="E170" s="146"/>
      <c r="F170" s="146" t="s">
        <v>307</v>
      </c>
      <c r="G170" s="600" t="s">
        <v>3733</v>
      </c>
      <c r="H170" s="600" t="s">
        <v>3703</v>
      </c>
      <c r="I170" s="604" t="s">
        <v>3734</v>
      </c>
      <c r="J170" s="604" t="s">
        <v>3544</v>
      </c>
      <c r="K170" s="602" t="s">
        <v>3735</v>
      </c>
      <c r="L170" s="603" t="s">
        <v>3706</v>
      </c>
      <c r="M170" s="1518" t="s">
        <v>1747</v>
      </c>
      <c r="N170" s="603" t="s">
        <v>2735</v>
      </c>
      <c r="O170" s="754" t="s">
        <v>3736</v>
      </c>
      <c r="P170" s="150" t="s">
        <v>3737</v>
      </c>
      <c r="Q170" s="150"/>
      <c r="R170" s="98"/>
      <c r="S170" s="146"/>
      <c r="T170" s="284" t="s">
        <v>2124</v>
      </c>
      <c r="U170" s="284" t="s">
        <v>3738</v>
      </c>
      <c r="W170" s="25"/>
      <c r="X170" s="25"/>
      <c r="Z170" s="25"/>
      <c r="AA170" s="77"/>
      <c r="AB170" s="77"/>
      <c r="AC170" s="274"/>
      <c r="AD170" s="40"/>
      <c r="AE170" s="77"/>
      <c r="AF170" s="77"/>
      <c r="AG170" s="77"/>
      <c r="AH170" s="77"/>
      <c r="AI170" s="77"/>
      <c r="AJ170" s="77"/>
      <c r="AK170" s="77"/>
    </row>
    <row r="171" spans="2:37" ht="10.5" customHeight="1">
      <c r="B171" s="146"/>
      <c r="C171" s="211" t="s">
        <v>3739</v>
      </c>
      <c r="D171" s="247"/>
      <c r="E171" s="146"/>
      <c r="F171" s="146" t="s">
        <v>308</v>
      </c>
      <c r="G171" s="600" t="s">
        <v>3740</v>
      </c>
      <c r="H171" s="600" t="s">
        <v>770</v>
      </c>
      <c r="I171" s="601" t="s">
        <v>3741</v>
      </c>
      <c r="J171" s="601" t="s">
        <v>3544</v>
      </c>
      <c r="K171" s="602" t="s">
        <v>3742</v>
      </c>
      <c r="L171" s="603" t="s">
        <v>3706</v>
      </c>
      <c r="M171" s="1518" t="s">
        <v>1747</v>
      </c>
      <c r="N171" s="603" t="s">
        <v>2730</v>
      </c>
      <c r="O171" s="754" t="s">
        <v>3743</v>
      </c>
      <c r="P171" s="150" t="s">
        <v>3744</v>
      </c>
      <c r="Q171" s="150"/>
      <c r="R171" s="98"/>
      <c r="S171" s="146"/>
      <c r="T171" s="284" t="s">
        <v>3745</v>
      </c>
      <c r="U171" s="284" t="s">
        <v>3746</v>
      </c>
      <c r="W171" s="25"/>
      <c r="X171" s="25"/>
      <c r="Z171" s="25"/>
      <c r="AA171" s="77"/>
      <c r="AB171" s="77"/>
      <c r="AC171" s="274"/>
      <c r="AD171" s="40"/>
      <c r="AE171" s="77"/>
      <c r="AF171" s="77"/>
      <c r="AG171" s="77"/>
      <c r="AH171" s="77"/>
      <c r="AI171" s="77"/>
      <c r="AJ171" s="77"/>
      <c r="AK171" s="77"/>
    </row>
    <row r="172" spans="2:37" ht="10.5" customHeight="1">
      <c r="B172" s="146"/>
      <c r="C172" s="211" t="s">
        <v>3719</v>
      </c>
      <c r="D172" s="247"/>
      <c r="E172" s="146"/>
      <c r="F172" s="146" t="s">
        <v>309</v>
      </c>
      <c r="G172" s="600" t="s">
        <v>173</v>
      </c>
      <c r="H172" s="600" t="s">
        <v>770</v>
      </c>
      <c r="I172" s="604" t="s">
        <v>3732</v>
      </c>
      <c r="J172" s="604" t="s">
        <v>2726</v>
      </c>
      <c r="K172" s="602" t="s">
        <v>3747</v>
      </c>
      <c r="L172" s="603" t="s">
        <v>3727</v>
      </c>
      <c r="M172" s="1518" t="s">
        <v>3541</v>
      </c>
      <c r="N172" s="603" t="s">
        <v>2731</v>
      </c>
      <c r="O172" s="754" t="s">
        <v>3748</v>
      </c>
      <c r="P172" s="150" t="s">
        <v>3749</v>
      </c>
      <c r="Q172" s="150"/>
      <c r="R172" s="98"/>
      <c r="S172" s="146"/>
      <c r="T172" s="284" t="s">
        <v>3750</v>
      </c>
      <c r="U172" s="284" t="s">
        <v>152</v>
      </c>
      <c r="W172" s="25"/>
      <c r="X172" s="25"/>
      <c r="Z172" s="25"/>
      <c r="AA172" s="77"/>
      <c r="AB172" s="77"/>
      <c r="AC172" s="274"/>
      <c r="AD172" s="40"/>
      <c r="AE172" s="77"/>
      <c r="AF172" s="77"/>
      <c r="AG172" s="77"/>
      <c r="AH172" s="77"/>
      <c r="AI172" s="77"/>
      <c r="AJ172" s="77"/>
      <c r="AK172" s="77"/>
    </row>
    <row r="173" spans="2:37" ht="10.5" customHeight="1">
      <c r="B173" s="146"/>
      <c r="C173" s="211" t="s">
        <v>3734</v>
      </c>
      <c r="D173" s="247"/>
      <c r="E173" s="146"/>
      <c r="F173" s="146" t="s">
        <v>311</v>
      </c>
      <c r="G173" s="600" t="s">
        <v>3731</v>
      </c>
      <c r="H173" s="600" t="s">
        <v>770</v>
      </c>
      <c r="I173" s="604" t="s">
        <v>3732</v>
      </c>
      <c r="J173" s="604" t="s">
        <v>2726</v>
      </c>
      <c r="K173" s="602" t="s">
        <v>3747</v>
      </c>
      <c r="L173" s="603" t="s">
        <v>3727</v>
      </c>
      <c r="M173" s="1518" t="s">
        <v>3541</v>
      </c>
      <c r="N173" s="603" t="s">
        <v>2731</v>
      </c>
      <c r="O173" s="754" t="s">
        <v>3751</v>
      </c>
      <c r="P173" s="150" t="s">
        <v>3752</v>
      </c>
      <c r="Q173" s="150"/>
      <c r="R173" s="98"/>
      <c r="S173" s="146"/>
      <c r="T173" s="284" t="s">
        <v>3753</v>
      </c>
      <c r="U173" s="284" t="s">
        <v>3754</v>
      </c>
      <c r="W173" s="25"/>
      <c r="X173" s="25"/>
      <c r="Z173" s="25"/>
      <c r="AA173" s="77"/>
      <c r="AB173" s="77"/>
      <c r="AC173" s="274"/>
      <c r="AD173" s="40"/>
      <c r="AE173" s="77"/>
      <c r="AF173" s="77"/>
      <c r="AG173" s="77"/>
      <c r="AH173" s="77"/>
      <c r="AI173" s="77"/>
      <c r="AJ173" s="77"/>
      <c r="AK173" s="77"/>
    </row>
    <row r="174" spans="2:37" ht="10.5" customHeight="1">
      <c r="B174" s="146"/>
      <c r="C174" s="211" t="s">
        <v>3741</v>
      </c>
      <c r="D174" s="247"/>
      <c r="E174" s="146"/>
      <c r="F174" s="146" t="s">
        <v>310</v>
      </c>
      <c r="G174" s="600" t="s">
        <v>3755</v>
      </c>
      <c r="H174" s="600" t="s">
        <v>3703</v>
      </c>
      <c r="I174" s="601" t="s">
        <v>3756</v>
      </c>
      <c r="J174" s="601" t="s">
        <v>3544</v>
      </c>
      <c r="K174" s="602" t="s">
        <v>3757</v>
      </c>
      <c r="L174" s="603" t="s">
        <v>3706</v>
      </c>
      <c r="M174" s="1518" t="s">
        <v>1747</v>
      </c>
      <c r="N174" s="603" t="s">
        <v>2128</v>
      </c>
      <c r="O174" s="754" t="s">
        <v>3758</v>
      </c>
      <c r="P174" s="150" t="s">
        <v>3759</v>
      </c>
      <c r="Q174" s="284"/>
      <c r="R174" s="98"/>
      <c r="S174" s="146"/>
      <c r="T174" s="284" t="s">
        <v>3760</v>
      </c>
      <c r="U174" s="284" t="s">
        <v>3761</v>
      </c>
      <c r="W174" s="25"/>
      <c r="X174" s="25"/>
      <c r="Z174" s="25"/>
      <c r="AA174" s="77"/>
      <c r="AB174" s="77"/>
      <c r="AC174" s="274"/>
      <c r="AD174" s="40"/>
      <c r="AE174" s="77"/>
      <c r="AF174" s="77"/>
      <c r="AG174" s="77"/>
      <c r="AH174" s="77"/>
      <c r="AI174" s="77"/>
      <c r="AJ174" s="77"/>
      <c r="AK174" s="77"/>
    </row>
    <row r="175" spans="2:37" ht="10.5" customHeight="1">
      <c r="B175" s="146"/>
      <c r="C175" s="212" t="s">
        <v>3762</v>
      </c>
      <c r="D175" s="247"/>
      <c r="E175" s="146"/>
      <c r="F175" s="146" t="s">
        <v>312</v>
      </c>
      <c r="G175" s="600" t="s">
        <v>3761</v>
      </c>
      <c r="H175" s="600" t="s">
        <v>3703</v>
      </c>
      <c r="I175" s="601" t="s">
        <v>3763</v>
      </c>
      <c r="J175" s="601" t="s">
        <v>3544</v>
      </c>
      <c r="K175" s="602" t="s">
        <v>3764</v>
      </c>
      <c r="L175" s="603" t="s">
        <v>3706</v>
      </c>
      <c r="M175" s="1518" t="s">
        <v>1747</v>
      </c>
      <c r="N175" s="603" t="s">
        <v>2214</v>
      </c>
      <c r="O175" s="754" t="s">
        <v>3765</v>
      </c>
      <c r="P175" s="150" t="s">
        <v>3766</v>
      </c>
      <c r="Q175" s="284"/>
      <c r="R175" s="146"/>
      <c r="S175" s="146"/>
      <c r="T175" s="284" t="s">
        <v>2128</v>
      </c>
      <c r="U175" s="284" t="s">
        <v>164</v>
      </c>
      <c r="W175" s="25"/>
      <c r="X175" s="25"/>
      <c r="Z175" s="25"/>
      <c r="AA175" s="77"/>
      <c r="AB175" s="77"/>
      <c r="AC175" s="274"/>
      <c r="AD175" s="40"/>
      <c r="AE175" s="77"/>
      <c r="AF175" s="77"/>
      <c r="AG175" s="77"/>
      <c r="AH175" s="77"/>
      <c r="AI175" s="77"/>
      <c r="AJ175" s="77"/>
      <c r="AK175" s="77"/>
    </row>
    <row r="176" spans="2:37" ht="10.5" customHeight="1">
      <c r="B176" s="146"/>
      <c r="C176" s="212" t="s">
        <v>3763</v>
      </c>
      <c r="D176" s="247"/>
      <c r="E176" s="146"/>
      <c r="F176" s="146" t="s">
        <v>313</v>
      </c>
      <c r="G176" s="600" t="s">
        <v>3767</v>
      </c>
      <c r="H176" s="600" t="s">
        <v>3768</v>
      </c>
      <c r="I176" s="604" t="s">
        <v>2735</v>
      </c>
      <c r="J176" s="604" t="s">
        <v>2726</v>
      </c>
      <c r="K176" s="602" t="s">
        <v>3769</v>
      </c>
      <c r="L176" s="603" t="s">
        <v>3727</v>
      </c>
      <c r="M176" s="1518" t="s">
        <v>3541</v>
      </c>
      <c r="N176" s="603" t="s">
        <v>2735</v>
      </c>
      <c r="O176" s="754" t="s">
        <v>3770</v>
      </c>
      <c r="P176" s="150" t="s">
        <v>3771</v>
      </c>
      <c r="Q176" s="284"/>
      <c r="R176" s="98"/>
      <c r="S176" s="146"/>
      <c r="T176" s="284" t="s">
        <v>3772</v>
      </c>
      <c r="U176" s="284" t="s">
        <v>3773</v>
      </c>
      <c r="W176" s="25"/>
      <c r="X176" s="25"/>
      <c r="Z176" s="25"/>
      <c r="AA176" s="77"/>
      <c r="AB176" s="77"/>
      <c r="AC176" s="274"/>
      <c r="AD176" s="40"/>
      <c r="AE176" s="77"/>
      <c r="AF176" s="77"/>
      <c r="AG176" s="77"/>
      <c r="AH176" s="77"/>
      <c r="AI176" s="77"/>
      <c r="AJ176" s="77"/>
      <c r="AK176" s="77"/>
    </row>
    <row r="177" spans="2:37" ht="10.5" customHeight="1">
      <c r="B177" s="146"/>
      <c r="C177" s="212" t="s">
        <v>3774</v>
      </c>
      <c r="D177" s="247"/>
      <c r="E177" s="146"/>
      <c r="F177" s="146" t="s">
        <v>314</v>
      </c>
      <c r="G177" s="600" t="s">
        <v>3775</v>
      </c>
      <c r="H177" s="600" t="s">
        <v>3703</v>
      </c>
      <c r="I177" s="604" t="s">
        <v>3774</v>
      </c>
      <c r="J177" s="604" t="s">
        <v>3544</v>
      </c>
      <c r="K177" s="602" t="s">
        <v>3776</v>
      </c>
      <c r="L177" s="603" t="s">
        <v>3706</v>
      </c>
      <c r="M177" s="1518" t="s">
        <v>1747</v>
      </c>
      <c r="N177" s="603" t="s">
        <v>2735</v>
      </c>
      <c r="O177" s="754" t="s">
        <v>3777</v>
      </c>
      <c r="P177" s="150" t="s">
        <v>3778</v>
      </c>
      <c r="Q177" s="150"/>
      <c r="R177" s="98"/>
      <c r="S177" s="146"/>
      <c r="T177" s="284" t="s">
        <v>3779</v>
      </c>
      <c r="U177" s="284" t="s">
        <v>126</v>
      </c>
      <c r="W177" s="25"/>
      <c r="X177" s="25"/>
      <c r="Z177" s="25"/>
      <c r="AA177" s="77"/>
      <c r="AB177" s="77"/>
      <c r="AC177" s="274"/>
      <c r="AD177" s="40"/>
      <c r="AE177" s="77"/>
      <c r="AF177" s="77"/>
      <c r="AG177" s="77"/>
      <c r="AH177" s="77"/>
      <c r="AI177" s="77"/>
      <c r="AJ177" s="77"/>
      <c r="AK177" s="77"/>
    </row>
    <row r="178" spans="2:37" ht="10.5" customHeight="1">
      <c r="B178" s="146"/>
      <c r="C178" s="211" t="s">
        <v>3780</v>
      </c>
      <c r="D178" s="247"/>
      <c r="E178" s="146"/>
      <c r="F178" s="146" t="s">
        <v>318</v>
      </c>
      <c r="G178" s="600" t="s">
        <v>3781</v>
      </c>
      <c r="H178" s="600" t="s">
        <v>3703</v>
      </c>
      <c r="I178" s="601" t="s">
        <v>3780</v>
      </c>
      <c r="J178" s="601" t="s">
        <v>2726</v>
      </c>
      <c r="K178" s="602" t="s">
        <v>3782</v>
      </c>
      <c r="L178" s="603" t="s">
        <v>3727</v>
      </c>
      <c r="M178" s="1518" t="s">
        <v>3541</v>
      </c>
      <c r="N178" s="603" t="s">
        <v>2214</v>
      </c>
      <c r="O178" s="754" t="s">
        <v>3783</v>
      </c>
      <c r="P178" s="150" t="s">
        <v>3784</v>
      </c>
      <c r="Q178" s="150"/>
      <c r="R178" s="98"/>
      <c r="S178" s="146"/>
      <c r="T178" s="284" t="s">
        <v>3785</v>
      </c>
      <c r="U178" s="284" t="s">
        <v>3786</v>
      </c>
      <c r="W178" s="25"/>
      <c r="X178" s="25"/>
      <c r="Z178" s="25"/>
      <c r="AA178" s="77"/>
      <c r="AB178" s="77"/>
      <c r="AC178" s="274"/>
      <c r="AD178" s="40"/>
      <c r="AE178" s="77"/>
      <c r="AF178" s="77"/>
      <c r="AG178" s="77"/>
      <c r="AH178" s="77"/>
      <c r="AI178" s="77"/>
      <c r="AJ178" s="77"/>
      <c r="AK178" s="77"/>
    </row>
    <row r="179" spans="2:37" ht="10.5" customHeight="1">
      <c r="B179" s="146"/>
      <c r="C179" s="212" t="s">
        <v>3787</v>
      </c>
      <c r="D179" s="247"/>
      <c r="E179" s="146"/>
      <c r="F179" s="146" t="s">
        <v>315</v>
      </c>
      <c r="G179" s="600" t="s">
        <v>3788</v>
      </c>
      <c r="H179" s="600" t="s">
        <v>3703</v>
      </c>
      <c r="I179" s="601" t="s">
        <v>2214</v>
      </c>
      <c r="J179" s="601" t="s">
        <v>2726</v>
      </c>
      <c r="K179" s="602" t="s">
        <v>3789</v>
      </c>
      <c r="L179" s="603" t="s">
        <v>3727</v>
      </c>
      <c r="M179" s="1518" t="s">
        <v>3541</v>
      </c>
      <c r="N179" s="603" t="s">
        <v>2214</v>
      </c>
      <c r="O179" s="754" t="s">
        <v>3790</v>
      </c>
      <c r="P179" s="150" t="s">
        <v>3791</v>
      </c>
      <c r="Q179" s="150"/>
      <c r="R179" s="98"/>
      <c r="S179" s="146"/>
      <c r="T179" s="284" t="s">
        <v>3792</v>
      </c>
      <c r="U179" s="284" t="s">
        <v>3718</v>
      </c>
      <c r="W179" s="25"/>
      <c r="X179" s="25"/>
      <c r="Z179" s="25"/>
      <c r="AA179" s="77"/>
      <c r="AB179" s="77"/>
      <c r="AC179" s="274"/>
      <c r="AD179" s="40"/>
      <c r="AE179" s="77"/>
      <c r="AF179" s="77"/>
      <c r="AG179" s="77"/>
      <c r="AH179" s="77"/>
      <c r="AI179" s="77"/>
      <c r="AJ179" s="77"/>
      <c r="AK179" s="77"/>
    </row>
    <row r="180" spans="2:37" ht="10.5" customHeight="1">
      <c r="B180" s="146"/>
      <c r="C180" s="211" t="s">
        <v>3793</v>
      </c>
      <c r="D180" s="247"/>
      <c r="E180" s="146"/>
      <c r="F180" s="146" t="s">
        <v>316</v>
      </c>
      <c r="G180" s="600" t="s">
        <v>3794</v>
      </c>
      <c r="H180" s="600" t="s">
        <v>3703</v>
      </c>
      <c r="I180" s="604" t="s">
        <v>2736</v>
      </c>
      <c r="J180" s="604" t="s">
        <v>2726</v>
      </c>
      <c r="K180" s="602" t="s">
        <v>3795</v>
      </c>
      <c r="L180" s="603" t="s">
        <v>3727</v>
      </c>
      <c r="M180" s="1518" t="s">
        <v>3541</v>
      </c>
      <c r="N180" s="603" t="s">
        <v>2736</v>
      </c>
      <c r="O180" s="754" t="s">
        <v>3796</v>
      </c>
      <c r="P180" s="150" t="s">
        <v>3797</v>
      </c>
      <c r="Q180" s="150"/>
      <c r="R180" s="98"/>
      <c r="S180" s="146"/>
      <c r="T180" s="284" t="s">
        <v>3798</v>
      </c>
      <c r="U180" s="284" t="s">
        <v>156</v>
      </c>
      <c r="W180" s="25"/>
      <c r="X180" s="25"/>
      <c r="Z180" s="25"/>
      <c r="AA180" s="77"/>
      <c r="AB180" s="77"/>
      <c r="AC180" s="274"/>
      <c r="AD180" s="40"/>
      <c r="AE180" s="77"/>
      <c r="AF180" s="77"/>
      <c r="AG180" s="77"/>
      <c r="AH180" s="77"/>
      <c r="AI180" s="77"/>
      <c r="AJ180" s="77"/>
      <c r="AK180" s="77"/>
    </row>
    <row r="181" spans="2:37" ht="10.5" customHeight="1">
      <c r="B181" s="146"/>
      <c r="C181" s="212" t="s">
        <v>3799</v>
      </c>
      <c r="D181" s="247"/>
      <c r="E181" s="146"/>
      <c r="F181" s="146" t="s">
        <v>317</v>
      </c>
      <c r="G181" s="600" t="s">
        <v>109</v>
      </c>
      <c r="H181" s="600" t="s">
        <v>3703</v>
      </c>
      <c r="I181" s="604" t="s">
        <v>3787</v>
      </c>
      <c r="J181" s="604" t="s">
        <v>3544</v>
      </c>
      <c r="K181" s="602" t="s">
        <v>3800</v>
      </c>
      <c r="L181" s="603" t="s">
        <v>3706</v>
      </c>
      <c r="M181" s="1518" t="s">
        <v>1747</v>
      </c>
      <c r="N181" s="603" t="s">
        <v>2736</v>
      </c>
      <c r="O181" s="754" t="s">
        <v>3801</v>
      </c>
      <c r="P181" s="150" t="s">
        <v>3802</v>
      </c>
      <c r="Q181" s="150"/>
      <c r="R181" s="98"/>
      <c r="S181" s="146"/>
      <c r="T181" s="284" t="s">
        <v>3803</v>
      </c>
      <c r="U181" s="284" t="s">
        <v>152</v>
      </c>
      <c r="W181" s="25"/>
      <c r="X181" s="25"/>
      <c r="Z181" s="25"/>
      <c r="AA181" s="77"/>
      <c r="AB181" s="77"/>
      <c r="AC181" s="274"/>
      <c r="AD181" s="40"/>
      <c r="AE181" s="77"/>
      <c r="AF181" s="77"/>
      <c r="AG181" s="77"/>
      <c r="AH181" s="77"/>
      <c r="AI181" s="77"/>
      <c r="AJ181" s="77"/>
      <c r="AK181" s="77"/>
    </row>
    <row r="182" spans="2:37" ht="10.5" customHeight="1">
      <c r="B182" s="146"/>
      <c r="C182" s="212" t="s">
        <v>3804</v>
      </c>
      <c r="D182" s="247"/>
      <c r="E182" s="146"/>
      <c r="F182" s="146" t="s">
        <v>319</v>
      </c>
      <c r="G182" s="600" t="s">
        <v>3805</v>
      </c>
      <c r="H182" s="600" t="s">
        <v>3703</v>
      </c>
      <c r="I182" s="604" t="s">
        <v>3739</v>
      </c>
      <c r="J182" s="604" t="s">
        <v>2726</v>
      </c>
      <c r="K182" s="602" t="s">
        <v>3806</v>
      </c>
      <c r="L182" s="603" t="s">
        <v>3727</v>
      </c>
      <c r="M182" s="1518" t="s">
        <v>1747</v>
      </c>
      <c r="N182" s="603" t="s">
        <v>2732</v>
      </c>
      <c r="O182" s="754" t="s">
        <v>3807</v>
      </c>
      <c r="P182" s="150" t="s">
        <v>3808</v>
      </c>
      <c r="Q182" s="150"/>
      <c r="R182" s="98"/>
      <c r="S182" s="146"/>
      <c r="T182" s="284" t="s">
        <v>3809</v>
      </c>
      <c r="U182" s="284" t="s">
        <v>166</v>
      </c>
      <c r="W182" s="25"/>
      <c r="X182" s="25"/>
      <c r="Z182" s="25"/>
      <c r="AA182" s="77"/>
      <c r="AB182" s="77"/>
      <c r="AC182" s="274"/>
      <c r="AD182" s="40"/>
      <c r="AE182" s="77"/>
      <c r="AF182" s="77"/>
      <c r="AG182" s="77"/>
      <c r="AH182" s="77"/>
      <c r="AI182" s="77"/>
      <c r="AJ182" s="77"/>
      <c r="AK182" s="77"/>
    </row>
    <row r="183" spans="2:37" ht="10.5" customHeight="1">
      <c r="B183" s="146"/>
      <c r="C183" s="212" t="s">
        <v>3810</v>
      </c>
      <c r="D183" s="247"/>
      <c r="E183" s="146"/>
      <c r="F183" s="146" t="s">
        <v>320</v>
      </c>
      <c r="G183" s="600" t="s">
        <v>3811</v>
      </c>
      <c r="H183" s="600" t="s">
        <v>770</v>
      </c>
      <c r="I183" s="604" t="s">
        <v>3793</v>
      </c>
      <c r="J183" s="604" t="s">
        <v>2726</v>
      </c>
      <c r="K183" s="602" t="s">
        <v>3812</v>
      </c>
      <c r="L183" s="603" t="s">
        <v>3727</v>
      </c>
      <c r="M183" s="1518" t="s">
        <v>1747</v>
      </c>
      <c r="N183" s="603" t="s">
        <v>2731</v>
      </c>
      <c r="O183" s="754" t="s">
        <v>3813</v>
      </c>
      <c r="P183" s="150" t="s">
        <v>3814</v>
      </c>
      <c r="Q183" s="150"/>
      <c r="R183" s="98"/>
      <c r="S183" s="146"/>
      <c r="T183" s="284" t="s">
        <v>3815</v>
      </c>
      <c r="U183" s="284" t="s">
        <v>3816</v>
      </c>
      <c r="W183" s="25"/>
      <c r="X183" s="25"/>
      <c r="Z183" s="25"/>
      <c r="AA183" s="77"/>
      <c r="AB183" s="77"/>
      <c r="AC183" s="274"/>
      <c r="AD183" s="40"/>
      <c r="AE183" s="77"/>
      <c r="AF183" s="77"/>
      <c r="AG183" s="77"/>
      <c r="AH183" s="77"/>
      <c r="AI183" s="77"/>
      <c r="AJ183" s="77"/>
      <c r="AK183" s="77"/>
    </row>
    <row r="184" spans="2:37" ht="10.5" customHeight="1">
      <c r="B184" s="146"/>
      <c r="C184" s="211" t="s">
        <v>3817</v>
      </c>
      <c r="D184" s="247"/>
      <c r="E184" s="146"/>
      <c r="F184" s="146" t="s">
        <v>321</v>
      </c>
      <c r="G184" s="600" t="s">
        <v>3818</v>
      </c>
      <c r="H184" s="600" t="s">
        <v>3703</v>
      </c>
      <c r="I184" s="601" t="s">
        <v>3799</v>
      </c>
      <c r="J184" s="601" t="s">
        <v>3544</v>
      </c>
      <c r="K184" s="602" t="s">
        <v>3819</v>
      </c>
      <c r="L184" s="603" t="s">
        <v>3706</v>
      </c>
      <c r="M184" s="1518" t="s">
        <v>1747</v>
      </c>
      <c r="N184" s="603" t="s">
        <v>2128</v>
      </c>
      <c r="O184" s="754" t="s">
        <v>3820</v>
      </c>
      <c r="P184" s="150" t="s">
        <v>3821</v>
      </c>
      <c r="Q184" s="150"/>
      <c r="R184" s="98"/>
      <c r="S184" s="146"/>
      <c r="T184" s="284" t="s">
        <v>3822</v>
      </c>
      <c r="U184" s="284" t="s">
        <v>3823</v>
      </c>
      <c r="W184" s="25"/>
      <c r="X184" s="25"/>
      <c r="Z184" s="25"/>
      <c r="AA184" s="77"/>
      <c r="AB184" s="77"/>
      <c r="AC184" s="274"/>
      <c r="AD184" s="40"/>
      <c r="AE184" s="77"/>
      <c r="AF184" s="77"/>
      <c r="AG184" s="77"/>
      <c r="AH184" s="77"/>
      <c r="AI184" s="77"/>
      <c r="AJ184" s="77"/>
      <c r="AK184" s="77"/>
    </row>
    <row r="185" spans="2:37" ht="10.5" customHeight="1">
      <c r="B185" s="146"/>
      <c r="C185" s="211" t="s">
        <v>2733</v>
      </c>
      <c r="D185" s="247"/>
      <c r="E185" s="146"/>
      <c r="F185" s="146" t="s">
        <v>324</v>
      </c>
      <c r="G185" s="600" t="s">
        <v>142</v>
      </c>
      <c r="H185" s="600" t="s">
        <v>3703</v>
      </c>
      <c r="I185" s="604" t="s">
        <v>3804</v>
      </c>
      <c r="J185" s="604" t="s">
        <v>3544</v>
      </c>
      <c r="K185" s="602" t="s">
        <v>3824</v>
      </c>
      <c r="L185" s="603" t="s">
        <v>3706</v>
      </c>
      <c r="M185" s="1518" t="s">
        <v>1747</v>
      </c>
      <c r="N185" s="603" t="s">
        <v>2214</v>
      </c>
      <c r="O185" s="754" t="s">
        <v>3825</v>
      </c>
      <c r="P185" s="150" t="s">
        <v>3826</v>
      </c>
      <c r="Q185" s="150"/>
      <c r="R185" s="98"/>
      <c r="S185" s="146"/>
      <c r="T185" s="284" t="s">
        <v>3827</v>
      </c>
      <c r="U185" s="284" t="s">
        <v>3823</v>
      </c>
      <c r="W185" s="25"/>
      <c r="X185" s="25"/>
      <c r="Z185" s="25"/>
      <c r="AA185" s="77"/>
      <c r="AB185" s="77"/>
      <c r="AC185" s="274"/>
      <c r="AD185" s="40"/>
      <c r="AE185" s="77"/>
      <c r="AF185" s="77"/>
      <c r="AG185" s="77"/>
      <c r="AH185" s="77"/>
      <c r="AI185" s="77"/>
      <c r="AJ185" s="77"/>
      <c r="AK185" s="77"/>
    </row>
    <row r="186" spans="2:37" ht="10.5" customHeight="1">
      <c r="B186" s="146"/>
      <c r="C186" s="211" t="s">
        <v>3828</v>
      </c>
      <c r="D186" s="247"/>
      <c r="E186" s="146"/>
      <c r="F186" s="146" t="s">
        <v>323</v>
      </c>
      <c r="G186" s="600" t="s">
        <v>3829</v>
      </c>
      <c r="H186" s="600" t="s">
        <v>3703</v>
      </c>
      <c r="I186" s="601" t="s">
        <v>3810</v>
      </c>
      <c r="J186" s="601" t="s">
        <v>3544</v>
      </c>
      <c r="K186" s="602" t="s">
        <v>3830</v>
      </c>
      <c r="L186" s="603" t="s">
        <v>3706</v>
      </c>
      <c r="M186" s="1518" t="s">
        <v>1747</v>
      </c>
      <c r="N186" s="603" t="s">
        <v>2736</v>
      </c>
      <c r="O186" s="754" t="s">
        <v>3831</v>
      </c>
      <c r="P186" s="150" t="s">
        <v>3832</v>
      </c>
      <c r="Q186" s="150"/>
      <c r="R186" s="98"/>
      <c r="S186" s="146"/>
      <c r="T186" s="284" t="s">
        <v>3702</v>
      </c>
      <c r="U186" s="284" t="s">
        <v>120</v>
      </c>
      <c r="W186" s="25"/>
      <c r="X186" s="25"/>
      <c r="Z186" s="25"/>
      <c r="AA186" s="77"/>
      <c r="AB186" s="77"/>
      <c r="AC186" s="274"/>
      <c r="AD186" s="40"/>
      <c r="AE186" s="77"/>
      <c r="AF186" s="77"/>
      <c r="AG186" s="77"/>
      <c r="AH186" s="77"/>
      <c r="AI186" s="77"/>
      <c r="AJ186" s="77"/>
      <c r="AK186" s="77"/>
    </row>
    <row r="187" spans="2:37" ht="10.5" customHeight="1">
      <c r="B187" s="146"/>
      <c r="C187" s="211" t="s">
        <v>3833</v>
      </c>
      <c r="D187" s="247"/>
      <c r="E187" s="146"/>
      <c r="F187" s="146" t="s">
        <v>322</v>
      </c>
      <c r="G187" s="600" t="s">
        <v>3834</v>
      </c>
      <c r="H187" s="600" t="s">
        <v>770</v>
      </c>
      <c r="I187" s="604" t="s">
        <v>3732</v>
      </c>
      <c r="J187" s="604" t="s">
        <v>2726</v>
      </c>
      <c r="K187" s="602" t="s">
        <v>3747</v>
      </c>
      <c r="L187" s="603" t="s">
        <v>3727</v>
      </c>
      <c r="M187" s="1518" t="s">
        <v>3541</v>
      </c>
      <c r="N187" s="603" t="s">
        <v>2731</v>
      </c>
      <c r="O187" s="754" t="s">
        <v>3835</v>
      </c>
      <c r="P187" s="150" t="s">
        <v>3836</v>
      </c>
      <c r="Q187" s="150"/>
      <c r="R187" s="98"/>
      <c r="S187" s="146"/>
      <c r="T187" s="284" t="s">
        <v>3837</v>
      </c>
      <c r="U187" s="284" t="s">
        <v>3838</v>
      </c>
      <c r="W187" s="25"/>
      <c r="X187" s="25"/>
      <c r="Z187" s="25"/>
      <c r="AA187" s="77"/>
      <c r="AB187" s="77"/>
      <c r="AC187" s="274"/>
      <c r="AD187" s="40"/>
      <c r="AE187" s="77"/>
      <c r="AF187" s="77"/>
      <c r="AG187" s="77"/>
      <c r="AH187" s="77"/>
      <c r="AI187" s="77"/>
      <c r="AJ187" s="77"/>
      <c r="AK187" s="77"/>
    </row>
    <row r="188" spans="2:37" ht="10.5" customHeight="1">
      <c r="B188" s="146"/>
      <c r="C188" s="212" t="s">
        <v>3839</v>
      </c>
      <c r="D188" s="247"/>
      <c r="E188" s="146"/>
      <c r="F188" s="146" t="s">
        <v>325</v>
      </c>
      <c r="G188" s="600" t="s">
        <v>137</v>
      </c>
      <c r="H188" s="600" t="s">
        <v>770</v>
      </c>
      <c r="I188" s="604" t="s">
        <v>2733</v>
      </c>
      <c r="J188" s="604" t="s">
        <v>2726</v>
      </c>
      <c r="K188" s="602" t="s">
        <v>3840</v>
      </c>
      <c r="L188" s="603" t="s">
        <v>3727</v>
      </c>
      <c r="M188" s="1518" t="s">
        <v>1747</v>
      </c>
      <c r="N188" s="603" t="s">
        <v>2733</v>
      </c>
      <c r="O188" s="754" t="s">
        <v>3841</v>
      </c>
      <c r="P188" s="150" t="s">
        <v>3842</v>
      </c>
      <c r="Q188" s="150"/>
      <c r="R188" s="98"/>
      <c r="S188" s="146"/>
      <c r="T188" s="284" t="s">
        <v>3843</v>
      </c>
      <c r="U188" s="284" t="s">
        <v>3844</v>
      </c>
      <c r="W188" s="25"/>
      <c r="X188" s="25"/>
      <c r="Z188" s="25"/>
      <c r="AA188" s="77"/>
      <c r="AB188" s="77"/>
      <c r="AC188" s="274"/>
      <c r="AD188" s="40"/>
      <c r="AE188" s="77"/>
      <c r="AF188" s="77"/>
      <c r="AG188" s="77"/>
      <c r="AH188" s="77"/>
      <c r="AI188" s="77"/>
      <c r="AJ188" s="77"/>
      <c r="AK188" s="77"/>
    </row>
    <row r="189" spans="2:37" ht="10.5" customHeight="1">
      <c r="B189" s="146"/>
      <c r="C189" s="212" t="s">
        <v>3845</v>
      </c>
      <c r="D189" s="247"/>
      <c r="E189" s="146"/>
      <c r="F189" s="146" t="s">
        <v>326</v>
      </c>
      <c r="G189" s="600" t="s">
        <v>3846</v>
      </c>
      <c r="H189" s="600" t="s">
        <v>3703</v>
      </c>
      <c r="I189" s="601" t="s">
        <v>3817</v>
      </c>
      <c r="J189" s="601" t="s">
        <v>3544</v>
      </c>
      <c r="K189" s="602" t="s">
        <v>3847</v>
      </c>
      <c r="L189" s="603" t="s">
        <v>3706</v>
      </c>
      <c r="M189" s="1518" t="s">
        <v>1747</v>
      </c>
      <c r="N189" s="603" t="s">
        <v>2214</v>
      </c>
      <c r="O189" s="754" t="s">
        <v>3848</v>
      </c>
      <c r="P189" s="150" t="s">
        <v>3849</v>
      </c>
      <c r="Q189" s="150"/>
      <c r="R189" s="98"/>
      <c r="S189" s="146"/>
      <c r="T189" s="284" t="s">
        <v>3850</v>
      </c>
      <c r="U189" s="284" t="s">
        <v>3851</v>
      </c>
      <c r="W189" s="25"/>
      <c r="X189" s="25"/>
      <c r="Z189" s="25"/>
      <c r="AA189" s="77"/>
      <c r="AB189" s="77"/>
      <c r="AC189" s="274"/>
      <c r="AD189" s="40"/>
      <c r="AE189" s="77"/>
      <c r="AF189" s="77"/>
      <c r="AG189" s="77"/>
      <c r="AH189" s="77"/>
      <c r="AI189" s="77"/>
      <c r="AJ189" s="77"/>
      <c r="AK189" s="77"/>
    </row>
    <row r="190" spans="2:37" ht="10.5" customHeight="1">
      <c r="B190" s="146"/>
      <c r="C190" s="212" t="s">
        <v>3852</v>
      </c>
      <c r="D190" s="247"/>
      <c r="E190" s="146"/>
      <c r="F190" s="146" t="s">
        <v>328</v>
      </c>
      <c r="G190" s="600" t="s">
        <v>140</v>
      </c>
      <c r="H190" s="600" t="s">
        <v>3768</v>
      </c>
      <c r="I190" s="604" t="s">
        <v>2736</v>
      </c>
      <c r="J190" s="604" t="s">
        <v>2726</v>
      </c>
      <c r="K190" s="602" t="s">
        <v>3795</v>
      </c>
      <c r="L190" s="603" t="s">
        <v>3727</v>
      </c>
      <c r="M190" s="1518" t="s">
        <v>3541</v>
      </c>
      <c r="N190" s="603" t="s">
        <v>2736</v>
      </c>
      <c r="O190" s="754" t="s">
        <v>3853</v>
      </c>
      <c r="P190" s="150" t="s">
        <v>3854</v>
      </c>
      <c r="Q190" s="150"/>
      <c r="R190" s="98"/>
      <c r="S190" s="146"/>
      <c r="T190" s="284" t="s">
        <v>3855</v>
      </c>
      <c r="U190" s="284" t="s">
        <v>3856</v>
      </c>
      <c r="W190" s="25"/>
      <c r="X190" s="25"/>
      <c r="Z190" s="25"/>
      <c r="AA190" s="77"/>
      <c r="AB190" s="77"/>
      <c r="AC190" s="274"/>
      <c r="AD190" s="40"/>
      <c r="AE190" s="77"/>
      <c r="AF190" s="77"/>
      <c r="AG190" s="77"/>
      <c r="AH190" s="77"/>
      <c r="AI190" s="77"/>
      <c r="AJ190" s="77"/>
      <c r="AK190" s="77"/>
    </row>
    <row r="191" spans="2:37" ht="10.5" customHeight="1">
      <c r="B191" s="146"/>
      <c r="C191" s="211" t="s">
        <v>2734</v>
      </c>
      <c r="D191" s="247"/>
      <c r="E191" s="146"/>
      <c r="F191" s="146" t="s">
        <v>327</v>
      </c>
      <c r="G191" s="600" t="s">
        <v>3857</v>
      </c>
      <c r="H191" s="600" t="s">
        <v>3703</v>
      </c>
      <c r="I191" s="604" t="s">
        <v>2734</v>
      </c>
      <c r="J191" s="604" t="s">
        <v>2726</v>
      </c>
      <c r="K191" s="602" t="s">
        <v>3858</v>
      </c>
      <c r="L191" s="603" t="s">
        <v>3727</v>
      </c>
      <c r="M191" s="1518" t="s">
        <v>1747</v>
      </c>
      <c r="N191" s="603" t="s">
        <v>2734</v>
      </c>
      <c r="O191" s="754" t="s">
        <v>3859</v>
      </c>
      <c r="P191" s="150" t="s">
        <v>3860</v>
      </c>
      <c r="Q191" s="150"/>
      <c r="R191" s="98"/>
      <c r="S191" s="146"/>
      <c r="T191" s="284" t="s">
        <v>2132</v>
      </c>
      <c r="U191" s="284" t="s">
        <v>3818</v>
      </c>
      <c r="W191" s="25"/>
      <c r="X191" s="25"/>
      <c r="Z191" s="25"/>
      <c r="AA191" s="77"/>
      <c r="AB191" s="77"/>
      <c r="AC191" s="274"/>
      <c r="AD191" s="40"/>
      <c r="AE191" s="77"/>
      <c r="AF191" s="77"/>
      <c r="AG191" s="77"/>
      <c r="AH191" s="77"/>
      <c r="AI191" s="77"/>
      <c r="AJ191" s="77"/>
      <c r="AK191" s="77"/>
    </row>
    <row r="192" spans="2:37" ht="10.5" customHeight="1">
      <c r="B192" s="146"/>
      <c r="C192" s="212" t="s">
        <v>3861</v>
      </c>
      <c r="D192" s="247"/>
      <c r="E192" s="146"/>
      <c r="F192" s="146" t="s">
        <v>329</v>
      </c>
      <c r="G192" s="600" t="s">
        <v>3862</v>
      </c>
      <c r="H192" s="600" t="s">
        <v>770</v>
      </c>
      <c r="I192" s="601" t="s">
        <v>3828</v>
      </c>
      <c r="J192" s="601" t="s">
        <v>3544</v>
      </c>
      <c r="K192" s="602" t="s">
        <v>3863</v>
      </c>
      <c r="L192" s="603" t="s">
        <v>3706</v>
      </c>
      <c r="M192" s="1518" t="s">
        <v>1747</v>
      </c>
      <c r="N192" s="603" t="s">
        <v>2733</v>
      </c>
      <c r="O192" s="754" t="s">
        <v>3864</v>
      </c>
      <c r="P192" s="150" t="s">
        <v>3865</v>
      </c>
      <c r="Q192" s="150"/>
      <c r="R192" s="98"/>
      <c r="S192" s="146"/>
      <c r="T192" s="284" t="s">
        <v>3866</v>
      </c>
      <c r="U192" s="284" t="s">
        <v>3867</v>
      </c>
      <c r="W192" s="25"/>
      <c r="X192" s="25"/>
      <c r="Z192" s="25"/>
      <c r="AA192" s="77"/>
      <c r="AB192" s="77"/>
      <c r="AC192" s="274"/>
      <c r="AD192" s="40"/>
      <c r="AE192" s="77"/>
      <c r="AF192" s="77"/>
      <c r="AG192" s="77"/>
      <c r="AH192" s="77"/>
      <c r="AI192" s="77"/>
      <c r="AJ192" s="77"/>
      <c r="AK192" s="77"/>
    </row>
    <row r="193" spans="2:37" ht="10.5" customHeight="1">
      <c r="B193" s="146"/>
      <c r="C193" s="212" t="s">
        <v>3868</v>
      </c>
      <c r="D193" s="247"/>
      <c r="E193" s="146"/>
      <c r="F193" s="146" t="s">
        <v>336</v>
      </c>
      <c r="G193" s="600" t="s">
        <v>3869</v>
      </c>
      <c r="H193" s="600" t="s">
        <v>770</v>
      </c>
      <c r="I193" s="604" t="s">
        <v>3732</v>
      </c>
      <c r="J193" s="604" t="s">
        <v>2726</v>
      </c>
      <c r="K193" s="602" t="s">
        <v>3747</v>
      </c>
      <c r="L193" s="603" t="s">
        <v>3727</v>
      </c>
      <c r="M193" s="1518" t="s">
        <v>3541</v>
      </c>
      <c r="N193" s="603" t="s">
        <v>2731</v>
      </c>
      <c r="O193" s="754" t="s">
        <v>3870</v>
      </c>
      <c r="P193" s="150" t="s">
        <v>3871</v>
      </c>
      <c r="Q193" s="150"/>
      <c r="R193" s="98"/>
      <c r="S193" s="146"/>
      <c r="T193" s="284" t="s">
        <v>3872</v>
      </c>
      <c r="U193" s="284" t="s">
        <v>3873</v>
      </c>
      <c r="W193" s="25"/>
      <c r="X193" s="25"/>
      <c r="Z193" s="25"/>
      <c r="AA193" s="77"/>
      <c r="AB193" s="77"/>
      <c r="AC193" s="274"/>
      <c r="AD193" s="40"/>
      <c r="AE193" s="77"/>
      <c r="AF193" s="77"/>
      <c r="AG193" s="77"/>
      <c r="AH193" s="77"/>
      <c r="AI193" s="77"/>
      <c r="AJ193" s="77"/>
      <c r="AK193" s="77"/>
    </row>
    <row r="194" spans="2:37" ht="10.5" customHeight="1">
      <c r="B194" s="146"/>
      <c r="C194" s="212" t="s">
        <v>2168</v>
      </c>
      <c r="D194" s="247"/>
      <c r="E194" s="146"/>
      <c r="F194" s="146" t="s">
        <v>337</v>
      </c>
      <c r="G194" s="600" t="s">
        <v>3874</v>
      </c>
      <c r="H194" s="600" t="s">
        <v>770</v>
      </c>
      <c r="I194" s="601" t="s">
        <v>3875</v>
      </c>
      <c r="J194" s="601" t="s">
        <v>2726</v>
      </c>
      <c r="K194" s="602" t="s">
        <v>3876</v>
      </c>
      <c r="L194" s="603" t="s">
        <v>3727</v>
      </c>
      <c r="M194" s="1518" t="s">
        <v>3541</v>
      </c>
      <c r="N194" s="603" t="s">
        <v>2730</v>
      </c>
      <c r="O194" s="754" t="s">
        <v>3877</v>
      </c>
      <c r="P194" s="150" t="s">
        <v>3878</v>
      </c>
      <c r="Q194" s="150"/>
      <c r="R194" s="146"/>
      <c r="S194" s="146"/>
      <c r="T194" s="284" t="s">
        <v>2730</v>
      </c>
      <c r="U194" s="284" t="s">
        <v>3874</v>
      </c>
      <c r="W194" s="25"/>
      <c r="X194" s="25"/>
      <c r="Z194" s="25"/>
      <c r="AA194" s="77"/>
      <c r="AB194" s="77"/>
      <c r="AC194" s="274"/>
      <c r="AD194" s="40"/>
      <c r="AE194" s="77"/>
      <c r="AF194" s="77"/>
      <c r="AG194" s="77"/>
      <c r="AH194" s="77"/>
      <c r="AI194" s="77"/>
      <c r="AJ194" s="77"/>
      <c r="AK194" s="77"/>
    </row>
    <row r="195" spans="2:37" ht="10.5" customHeight="1">
      <c r="B195" s="146"/>
      <c r="C195" s="211" t="s">
        <v>3879</v>
      </c>
      <c r="D195" s="247"/>
      <c r="E195" s="146"/>
      <c r="F195" s="146" t="s">
        <v>330</v>
      </c>
      <c r="G195" s="600" t="s">
        <v>3880</v>
      </c>
      <c r="H195" s="600" t="s">
        <v>3703</v>
      </c>
      <c r="I195" s="601" t="s">
        <v>3833</v>
      </c>
      <c r="J195" s="601" t="s">
        <v>3544</v>
      </c>
      <c r="K195" s="602" t="s">
        <v>3881</v>
      </c>
      <c r="L195" s="603" t="s">
        <v>3706</v>
      </c>
      <c r="M195" s="1518" t="s">
        <v>1747</v>
      </c>
      <c r="N195" s="603" t="s">
        <v>2128</v>
      </c>
      <c r="O195" s="754" t="s">
        <v>3882</v>
      </c>
      <c r="P195" s="150" t="s">
        <v>3883</v>
      </c>
      <c r="Q195" s="284"/>
      <c r="R195" s="98"/>
      <c r="S195" s="146"/>
      <c r="T195" s="284" t="s">
        <v>2731</v>
      </c>
      <c r="U195" s="284" t="s">
        <v>156</v>
      </c>
      <c r="W195" s="25"/>
      <c r="X195" s="25"/>
      <c r="Z195" s="25"/>
      <c r="AA195" s="77"/>
      <c r="AB195" s="77"/>
      <c r="AC195" s="274"/>
      <c r="AD195" s="40"/>
      <c r="AE195" s="77"/>
      <c r="AF195" s="77"/>
      <c r="AG195" s="77"/>
      <c r="AH195" s="77"/>
      <c r="AI195" s="77"/>
      <c r="AJ195" s="77"/>
      <c r="AK195" s="77"/>
    </row>
    <row r="196" spans="2:37" ht="10.5" customHeight="1">
      <c r="B196" s="146"/>
      <c r="C196" s="211" t="s">
        <v>3884</v>
      </c>
      <c r="D196" s="247"/>
      <c r="E196" s="146"/>
      <c r="F196" s="146" t="s">
        <v>332</v>
      </c>
      <c r="G196" s="600" t="s">
        <v>103</v>
      </c>
      <c r="H196" s="600" t="s">
        <v>3768</v>
      </c>
      <c r="I196" s="604" t="s">
        <v>3732</v>
      </c>
      <c r="J196" s="604" t="s">
        <v>2726</v>
      </c>
      <c r="K196" s="602" t="s">
        <v>3747</v>
      </c>
      <c r="L196" s="603" t="s">
        <v>3727</v>
      </c>
      <c r="M196" s="1518" t="s">
        <v>3541</v>
      </c>
      <c r="N196" s="603" t="s">
        <v>2731</v>
      </c>
      <c r="O196" s="754" t="s">
        <v>3885</v>
      </c>
      <c r="P196" s="150" t="s">
        <v>3886</v>
      </c>
      <c r="Q196" s="284"/>
      <c r="R196" s="98"/>
      <c r="S196" s="146"/>
      <c r="T196" s="284" t="s">
        <v>3887</v>
      </c>
      <c r="U196" s="284" t="s">
        <v>3888</v>
      </c>
      <c r="W196" s="25"/>
      <c r="X196" s="25"/>
      <c r="Z196" s="25"/>
      <c r="AA196" s="77"/>
      <c r="AB196" s="77"/>
      <c r="AC196" s="274"/>
      <c r="AD196" s="40"/>
      <c r="AE196" s="77"/>
      <c r="AF196" s="77"/>
      <c r="AG196" s="77"/>
      <c r="AH196" s="77"/>
      <c r="AI196" s="77"/>
      <c r="AJ196" s="77"/>
      <c r="AK196" s="77"/>
    </row>
    <row r="197" spans="2:37" ht="10.5" customHeight="1">
      <c r="B197" s="146"/>
      <c r="C197" s="212" t="s">
        <v>3889</v>
      </c>
      <c r="D197" s="247"/>
      <c r="E197" s="146"/>
      <c r="F197" s="146" t="s">
        <v>333</v>
      </c>
      <c r="G197" s="600" t="s">
        <v>3856</v>
      </c>
      <c r="H197" s="600" t="s">
        <v>3703</v>
      </c>
      <c r="I197" s="601" t="s">
        <v>3839</v>
      </c>
      <c r="J197" s="601" t="s">
        <v>3544</v>
      </c>
      <c r="K197" s="602" t="s">
        <v>3890</v>
      </c>
      <c r="L197" s="603" t="s">
        <v>3706</v>
      </c>
      <c r="M197" s="1518" t="s">
        <v>1747</v>
      </c>
      <c r="N197" s="603" t="s">
        <v>2214</v>
      </c>
      <c r="O197" s="754" t="s">
        <v>3891</v>
      </c>
      <c r="P197" s="150" t="s">
        <v>3892</v>
      </c>
      <c r="Q197" s="284"/>
      <c r="R197" s="98"/>
      <c r="S197" s="146"/>
      <c r="T197" s="284" t="s">
        <v>3893</v>
      </c>
      <c r="U197" s="284" t="s">
        <v>173</v>
      </c>
      <c r="W197" s="25"/>
      <c r="X197" s="25"/>
      <c r="Z197" s="25"/>
      <c r="AA197" s="77"/>
      <c r="AB197" s="77"/>
      <c r="AC197" s="274"/>
      <c r="AD197" s="40"/>
      <c r="AE197" s="77"/>
      <c r="AF197" s="77"/>
      <c r="AG197" s="77"/>
      <c r="AH197" s="77"/>
      <c r="AI197" s="77"/>
      <c r="AJ197" s="77"/>
      <c r="AK197" s="77"/>
    </row>
    <row r="198" spans="2:37" ht="10.5" customHeight="1">
      <c r="B198" s="146"/>
      <c r="C198" s="211" t="s">
        <v>3894</v>
      </c>
      <c r="D198" s="247"/>
      <c r="E198" s="146"/>
      <c r="F198" s="146" t="s">
        <v>334</v>
      </c>
      <c r="G198" s="600" t="s">
        <v>123</v>
      </c>
      <c r="H198" s="600" t="s">
        <v>3768</v>
      </c>
      <c r="I198" s="604" t="s">
        <v>3732</v>
      </c>
      <c r="J198" s="604" t="s">
        <v>2726</v>
      </c>
      <c r="K198" s="602" t="s">
        <v>3747</v>
      </c>
      <c r="L198" s="603" t="s">
        <v>3727</v>
      </c>
      <c r="M198" s="1518" t="s">
        <v>3541</v>
      </c>
      <c r="N198" s="603" t="s">
        <v>2731</v>
      </c>
      <c r="O198" s="754" t="s">
        <v>3895</v>
      </c>
      <c r="P198" s="150" t="s">
        <v>3896</v>
      </c>
      <c r="Q198" s="284"/>
      <c r="R198" s="98"/>
      <c r="S198" s="146"/>
      <c r="T198" s="284" t="s">
        <v>2732</v>
      </c>
      <c r="U198" s="284" t="s">
        <v>3897</v>
      </c>
      <c r="W198" s="25"/>
      <c r="X198" s="25"/>
      <c r="Z198" s="25"/>
      <c r="AA198" s="77"/>
      <c r="AB198" s="77"/>
      <c r="AC198" s="274"/>
      <c r="AD198" s="40"/>
      <c r="AE198" s="77"/>
      <c r="AF198" s="77"/>
      <c r="AG198" s="77"/>
      <c r="AH198" s="77"/>
      <c r="AI198" s="77"/>
      <c r="AJ198" s="77"/>
      <c r="AK198" s="77"/>
    </row>
    <row r="199" spans="2:37" ht="10.5" customHeight="1">
      <c r="B199" s="146"/>
      <c r="C199" s="212" t="s">
        <v>3898</v>
      </c>
      <c r="D199" s="247"/>
      <c r="E199" s="146"/>
      <c r="F199" s="146" t="s">
        <v>331</v>
      </c>
      <c r="G199" s="600" t="s">
        <v>3816</v>
      </c>
      <c r="H199" s="600" t="s">
        <v>3703</v>
      </c>
      <c r="I199" s="601" t="s">
        <v>3845</v>
      </c>
      <c r="J199" s="601" t="s">
        <v>3544</v>
      </c>
      <c r="K199" s="602" t="s">
        <v>3899</v>
      </c>
      <c r="L199" s="603" t="s">
        <v>3706</v>
      </c>
      <c r="M199" s="1518" t="s">
        <v>1747</v>
      </c>
      <c r="N199" s="603" t="s">
        <v>2214</v>
      </c>
      <c r="O199" s="754" t="s">
        <v>3900</v>
      </c>
      <c r="P199" s="150" t="s">
        <v>3901</v>
      </c>
      <c r="Q199" s="284"/>
      <c r="R199" s="98"/>
      <c r="S199" s="146"/>
      <c r="T199" s="284" t="s">
        <v>3902</v>
      </c>
      <c r="U199" s="284" t="s">
        <v>123</v>
      </c>
      <c r="W199" s="25"/>
      <c r="X199" s="25"/>
      <c r="Z199" s="25"/>
      <c r="AA199" s="77"/>
      <c r="AB199" s="77"/>
      <c r="AC199" s="274"/>
      <c r="AD199" s="40"/>
      <c r="AE199" s="77"/>
      <c r="AF199" s="77"/>
      <c r="AG199" s="77"/>
      <c r="AH199" s="77"/>
      <c r="AI199" s="77"/>
      <c r="AJ199" s="77"/>
      <c r="AK199" s="77"/>
    </row>
    <row r="200" spans="2:37" ht="10.5" customHeight="1">
      <c r="B200" s="146"/>
      <c r="C200" s="212" t="s">
        <v>3903</v>
      </c>
      <c r="D200" s="247"/>
      <c r="E200" s="146"/>
      <c r="F200" s="146" t="s">
        <v>335</v>
      </c>
      <c r="G200" s="600" t="s">
        <v>3904</v>
      </c>
      <c r="H200" s="600" t="s">
        <v>3703</v>
      </c>
      <c r="I200" s="601" t="s">
        <v>3852</v>
      </c>
      <c r="J200" s="601" t="s">
        <v>3544</v>
      </c>
      <c r="K200" s="602" t="s">
        <v>3905</v>
      </c>
      <c r="L200" s="603" t="s">
        <v>3706</v>
      </c>
      <c r="M200" s="1518" t="s">
        <v>1747</v>
      </c>
      <c r="N200" s="603" t="s">
        <v>2128</v>
      </c>
      <c r="O200" s="754" t="s">
        <v>3906</v>
      </c>
      <c r="P200" s="150" t="s">
        <v>3907</v>
      </c>
      <c r="Q200" s="284"/>
      <c r="R200" s="98"/>
      <c r="S200" s="146"/>
      <c r="T200" s="284" t="s">
        <v>3908</v>
      </c>
      <c r="U200" s="284" t="s">
        <v>3909</v>
      </c>
      <c r="W200" s="25"/>
      <c r="X200" s="25"/>
      <c r="Z200" s="25"/>
      <c r="AA200" s="77"/>
      <c r="AB200" s="77"/>
      <c r="AC200" s="274"/>
      <c r="AD200" s="40"/>
      <c r="AE200" s="77"/>
      <c r="AF200" s="77"/>
      <c r="AG200" s="77"/>
      <c r="AH200" s="77"/>
      <c r="AI200" s="77"/>
      <c r="AJ200" s="77"/>
      <c r="AK200" s="77"/>
    </row>
    <row r="201" spans="2:37" ht="10.5" customHeight="1">
      <c r="B201" s="146"/>
      <c r="C201" s="212" t="s">
        <v>3910</v>
      </c>
      <c r="D201" s="247"/>
      <c r="E201" s="146"/>
      <c r="F201" s="146" t="s">
        <v>338</v>
      </c>
      <c r="G201" s="600" t="s">
        <v>120</v>
      </c>
      <c r="H201" s="600" t="s">
        <v>770</v>
      </c>
      <c r="I201" s="604" t="s">
        <v>3739</v>
      </c>
      <c r="J201" s="604" t="s">
        <v>2726</v>
      </c>
      <c r="K201" s="602" t="s">
        <v>3806</v>
      </c>
      <c r="L201" s="603" t="s">
        <v>3727</v>
      </c>
      <c r="M201" s="1518" t="s">
        <v>1747</v>
      </c>
      <c r="N201" s="603" t="s">
        <v>2732</v>
      </c>
      <c r="O201" s="754" t="s">
        <v>3911</v>
      </c>
      <c r="P201" s="150" t="s">
        <v>3912</v>
      </c>
      <c r="Q201" s="284"/>
      <c r="R201" s="98"/>
      <c r="S201" s="146"/>
      <c r="T201" s="284" t="s">
        <v>3913</v>
      </c>
      <c r="U201" s="284" t="s">
        <v>3914</v>
      </c>
      <c r="W201" s="25"/>
      <c r="X201" s="25"/>
      <c r="Z201" s="25"/>
      <c r="AA201" s="77"/>
      <c r="AB201" s="77"/>
      <c r="AC201" s="274"/>
      <c r="AD201" s="40"/>
      <c r="AE201" s="77"/>
      <c r="AF201" s="77"/>
      <c r="AG201" s="77"/>
      <c r="AH201" s="77"/>
      <c r="AI201" s="77"/>
      <c r="AJ201" s="77"/>
      <c r="AK201" s="77"/>
    </row>
    <row r="202" spans="2:37" ht="10.5" customHeight="1">
      <c r="B202" s="146"/>
      <c r="C202" s="212" t="s">
        <v>3915</v>
      </c>
      <c r="D202" s="247"/>
      <c r="E202" s="146"/>
      <c r="F202" s="146" t="s">
        <v>339</v>
      </c>
      <c r="G202" s="600" t="s">
        <v>3738</v>
      </c>
      <c r="H202" s="600" t="s">
        <v>3703</v>
      </c>
      <c r="I202" s="601" t="s">
        <v>3861</v>
      </c>
      <c r="J202" s="601" t="s">
        <v>3544</v>
      </c>
      <c r="K202" s="602" t="s">
        <v>3916</v>
      </c>
      <c r="L202" s="603" t="s">
        <v>3706</v>
      </c>
      <c r="M202" s="1518" t="s">
        <v>1747</v>
      </c>
      <c r="N202" s="603" t="s">
        <v>2214</v>
      </c>
      <c r="O202" s="754" t="s">
        <v>3917</v>
      </c>
      <c r="P202" s="150" t="s">
        <v>3918</v>
      </c>
      <c r="Q202" s="284"/>
      <c r="R202" s="98"/>
      <c r="S202" s="146"/>
      <c r="T202" s="284" t="s">
        <v>3919</v>
      </c>
      <c r="U202" s="284" t="s">
        <v>98</v>
      </c>
      <c r="W202" s="25"/>
      <c r="X202" s="25"/>
      <c r="Z202" s="25"/>
      <c r="AA202" s="77"/>
      <c r="AB202" s="77"/>
      <c r="AC202" s="274"/>
      <c r="AD202" s="40"/>
      <c r="AE202" s="77"/>
      <c r="AF202" s="77"/>
      <c r="AG202" s="77"/>
      <c r="AH202" s="77"/>
      <c r="AI202" s="77"/>
      <c r="AJ202" s="77"/>
      <c r="AK202" s="77"/>
    </row>
    <row r="203" spans="2:37" ht="10.5" customHeight="1">
      <c r="B203" s="146"/>
      <c r="C203" s="212" t="s">
        <v>3920</v>
      </c>
      <c r="D203" s="247"/>
      <c r="E203" s="146"/>
      <c r="F203" s="146" t="s">
        <v>340</v>
      </c>
      <c r="G203" s="600" t="s">
        <v>118</v>
      </c>
      <c r="H203" s="600" t="s">
        <v>3703</v>
      </c>
      <c r="I203" s="604" t="s">
        <v>3732</v>
      </c>
      <c r="J203" s="604" t="s">
        <v>2726</v>
      </c>
      <c r="K203" s="602" t="s">
        <v>3747</v>
      </c>
      <c r="L203" s="603" t="s">
        <v>3727</v>
      </c>
      <c r="M203" s="1518" t="s">
        <v>3541</v>
      </c>
      <c r="N203" s="603" t="s">
        <v>2731</v>
      </c>
      <c r="O203" s="754" t="s">
        <v>3921</v>
      </c>
      <c r="P203" s="150" t="s">
        <v>3922</v>
      </c>
      <c r="Q203" s="284"/>
      <c r="R203" s="98"/>
      <c r="S203" s="146"/>
      <c r="T203" s="284" t="s">
        <v>3923</v>
      </c>
      <c r="U203" s="284" t="s">
        <v>3924</v>
      </c>
      <c r="W203" s="25"/>
      <c r="X203" s="25"/>
      <c r="Z203" s="25"/>
      <c r="AA203" s="77"/>
      <c r="AB203" s="77"/>
      <c r="AC203" s="274"/>
      <c r="AD203" s="40"/>
      <c r="AE203" s="77"/>
      <c r="AF203" s="77"/>
      <c r="AG203" s="77"/>
      <c r="AH203" s="77"/>
      <c r="AI203" s="77"/>
      <c r="AJ203" s="77"/>
      <c r="AK203" s="77"/>
    </row>
    <row r="204" spans="2:37" ht="10.5" customHeight="1">
      <c r="B204" s="146"/>
      <c r="C204" s="212" t="s">
        <v>3925</v>
      </c>
      <c r="D204" s="247"/>
      <c r="E204" s="146"/>
      <c r="F204" s="146" t="s">
        <v>341</v>
      </c>
      <c r="G204" s="600" t="s">
        <v>3926</v>
      </c>
      <c r="H204" s="600" t="s">
        <v>770</v>
      </c>
      <c r="I204" s="604" t="s">
        <v>2735</v>
      </c>
      <c r="J204" s="604" t="s">
        <v>2726</v>
      </c>
      <c r="K204" s="602" t="s">
        <v>3769</v>
      </c>
      <c r="L204" s="603" t="s">
        <v>3727</v>
      </c>
      <c r="M204" s="1518" t="s">
        <v>1747</v>
      </c>
      <c r="N204" s="603" t="s">
        <v>2735</v>
      </c>
      <c r="O204" s="754" t="s">
        <v>3927</v>
      </c>
      <c r="P204" s="150" t="s">
        <v>3928</v>
      </c>
      <c r="Q204" s="284"/>
      <c r="R204" s="98"/>
      <c r="S204" s="146"/>
      <c r="T204" s="284" t="s">
        <v>3929</v>
      </c>
      <c r="U204" s="284" t="s">
        <v>3888</v>
      </c>
      <c r="W204" s="25"/>
      <c r="X204" s="25"/>
      <c r="Z204" s="25"/>
      <c r="AA204" s="77"/>
      <c r="AB204" s="77"/>
      <c r="AC204" s="274"/>
      <c r="AD204" s="40"/>
      <c r="AE204" s="77"/>
      <c r="AF204" s="77"/>
      <c r="AG204" s="77"/>
      <c r="AH204" s="77"/>
      <c r="AI204" s="77"/>
      <c r="AJ204" s="77"/>
      <c r="AK204" s="77"/>
    </row>
    <row r="205" spans="2:37" ht="10.5" customHeight="1">
      <c r="B205" s="146"/>
      <c r="C205" s="212" t="s">
        <v>3930</v>
      </c>
      <c r="D205" s="247"/>
      <c r="E205" s="146"/>
      <c r="F205" s="146" t="s">
        <v>342</v>
      </c>
      <c r="G205" s="600" t="s">
        <v>3838</v>
      </c>
      <c r="H205" s="600" t="s">
        <v>3703</v>
      </c>
      <c r="I205" s="601" t="s">
        <v>3868</v>
      </c>
      <c r="J205" s="601" t="s">
        <v>3544</v>
      </c>
      <c r="K205" s="602" t="s">
        <v>3931</v>
      </c>
      <c r="L205" s="603" t="s">
        <v>3706</v>
      </c>
      <c r="M205" s="1518" t="s">
        <v>1747</v>
      </c>
      <c r="N205" s="603" t="s">
        <v>2128</v>
      </c>
      <c r="O205" s="754" t="s">
        <v>3932</v>
      </c>
      <c r="P205" s="150" t="s">
        <v>3933</v>
      </c>
      <c r="Q205" s="284"/>
      <c r="R205" s="98"/>
      <c r="S205" s="146"/>
      <c r="T205" s="284" t="s">
        <v>3733</v>
      </c>
      <c r="U205" s="284" t="s">
        <v>166</v>
      </c>
      <c r="W205" s="25"/>
      <c r="X205" s="25"/>
      <c r="Z205" s="25"/>
      <c r="AA205" s="77"/>
      <c r="AB205" s="77"/>
      <c r="AC205" s="274"/>
      <c r="AD205" s="40"/>
      <c r="AE205" s="77"/>
      <c r="AF205" s="77"/>
      <c r="AG205" s="77"/>
      <c r="AH205" s="77"/>
      <c r="AI205" s="77"/>
      <c r="AJ205" s="77"/>
      <c r="AK205" s="77"/>
    </row>
    <row r="206" spans="2:37" ht="10.5" customHeight="1">
      <c r="B206" s="146"/>
      <c r="C206" s="212" t="s">
        <v>3934</v>
      </c>
      <c r="D206" s="247"/>
      <c r="E206" s="146"/>
      <c r="F206" s="146" t="s">
        <v>343</v>
      </c>
      <c r="G206" s="600" t="s">
        <v>3935</v>
      </c>
      <c r="H206" s="600" t="s">
        <v>770</v>
      </c>
      <c r="I206" s="604" t="s">
        <v>2733</v>
      </c>
      <c r="J206" s="604" t="s">
        <v>2726</v>
      </c>
      <c r="K206" s="602" t="s">
        <v>3840</v>
      </c>
      <c r="L206" s="603" t="s">
        <v>3727</v>
      </c>
      <c r="M206" s="1518" t="s">
        <v>1747</v>
      </c>
      <c r="N206" s="603" t="s">
        <v>2733</v>
      </c>
      <c r="O206" s="754" t="s">
        <v>3936</v>
      </c>
      <c r="P206" s="150" t="s">
        <v>3937</v>
      </c>
      <c r="Q206" s="284"/>
      <c r="R206" s="98"/>
      <c r="S206" s="146"/>
      <c r="T206" s="284" t="s">
        <v>3938</v>
      </c>
      <c r="U206" s="284" t="s">
        <v>3869</v>
      </c>
      <c r="W206" s="25"/>
      <c r="X206" s="25"/>
      <c r="Z206" s="25"/>
      <c r="AA206" s="77"/>
      <c r="AB206" s="77"/>
      <c r="AC206" s="274"/>
      <c r="AD206" s="40"/>
      <c r="AE206" s="77"/>
      <c r="AF206" s="77"/>
      <c r="AG206" s="77"/>
      <c r="AH206" s="77"/>
      <c r="AI206" s="77"/>
      <c r="AJ206" s="77"/>
      <c r="AK206" s="77"/>
    </row>
    <row r="207" spans="2:37" ht="10.5" customHeight="1">
      <c r="B207" s="146"/>
      <c r="C207" s="212" t="s">
        <v>3939</v>
      </c>
      <c r="D207" s="247"/>
      <c r="E207" s="146"/>
      <c r="F207" s="146" t="s">
        <v>344</v>
      </c>
      <c r="G207" s="600" t="s">
        <v>3940</v>
      </c>
      <c r="H207" s="600" t="s">
        <v>770</v>
      </c>
      <c r="I207" s="604" t="s">
        <v>3732</v>
      </c>
      <c r="J207" s="604" t="s">
        <v>2726</v>
      </c>
      <c r="K207" s="602" t="s">
        <v>3747</v>
      </c>
      <c r="L207" s="603" t="s">
        <v>3727</v>
      </c>
      <c r="M207" s="1518" t="s">
        <v>3541</v>
      </c>
      <c r="N207" s="603" t="s">
        <v>2731</v>
      </c>
      <c r="O207" s="754" t="s">
        <v>3941</v>
      </c>
      <c r="P207" s="150" t="s">
        <v>3942</v>
      </c>
      <c r="Q207" s="284"/>
      <c r="R207" s="98"/>
      <c r="S207" s="146"/>
      <c r="T207" s="284" t="s">
        <v>3943</v>
      </c>
      <c r="U207" s="284" t="s">
        <v>3773</v>
      </c>
      <c r="W207" s="25"/>
      <c r="X207" s="25"/>
      <c r="Z207" s="25"/>
      <c r="AA207" s="77"/>
      <c r="AB207" s="77"/>
      <c r="AC207" s="274"/>
      <c r="AD207" s="40"/>
      <c r="AE207" s="77"/>
      <c r="AF207" s="77"/>
      <c r="AG207" s="77"/>
      <c r="AH207" s="77"/>
      <c r="AI207" s="77"/>
      <c r="AJ207" s="77"/>
      <c r="AK207" s="77"/>
    </row>
    <row r="208" spans="2:37" ht="10.5" customHeight="1">
      <c r="B208" s="146"/>
      <c r="C208" s="212" t="s">
        <v>3944</v>
      </c>
      <c r="D208" s="247"/>
      <c r="E208" s="146"/>
      <c r="F208" s="146" t="s">
        <v>345</v>
      </c>
      <c r="G208" s="600" t="s">
        <v>3888</v>
      </c>
      <c r="H208" s="600" t="s">
        <v>3703</v>
      </c>
      <c r="I208" s="601" t="s">
        <v>3879</v>
      </c>
      <c r="J208" s="601" t="s">
        <v>3544</v>
      </c>
      <c r="K208" s="602" t="s">
        <v>3945</v>
      </c>
      <c r="L208" s="603" t="s">
        <v>3706</v>
      </c>
      <c r="M208" s="1518" t="s">
        <v>1747</v>
      </c>
      <c r="N208" s="603" t="s">
        <v>2128</v>
      </c>
      <c r="O208" s="754" t="s">
        <v>3946</v>
      </c>
      <c r="P208" s="150" t="s">
        <v>3947</v>
      </c>
      <c r="Q208" s="284"/>
      <c r="R208" s="98"/>
      <c r="S208" s="146"/>
      <c r="T208" s="284" t="s">
        <v>3731</v>
      </c>
      <c r="U208" s="284" t="s">
        <v>3914</v>
      </c>
      <c r="W208" s="25"/>
      <c r="X208" s="25"/>
      <c r="Z208" s="25"/>
      <c r="AA208" s="77"/>
      <c r="AB208" s="77"/>
      <c r="AC208" s="274"/>
      <c r="AD208" s="40"/>
      <c r="AE208" s="77"/>
      <c r="AF208" s="77"/>
      <c r="AG208" s="77"/>
      <c r="AH208" s="77"/>
      <c r="AI208" s="77"/>
      <c r="AJ208" s="77"/>
      <c r="AK208" s="77"/>
    </row>
    <row r="209" spans="2:37" ht="10.5" customHeight="1">
      <c r="B209" s="146"/>
      <c r="C209" s="212" t="s">
        <v>3948</v>
      </c>
      <c r="D209" s="247"/>
      <c r="E209" s="146"/>
      <c r="F209" s="146" t="s">
        <v>346</v>
      </c>
      <c r="G209" s="600" t="s">
        <v>3949</v>
      </c>
      <c r="H209" s="600" t="s">
        <v>3768</v>
      </c>
      <c r="I209" s="604" t="s">
        <v>3732</v>
      </c>
      <c r="J209" s="604" t="s">
        <v>2726</v>
      </c>
      <c r="K209" s="602" t="s">
        <v>3747</v>
      </c>
      <c r="L209" s="603" t="s">
        <v>3727</v>
      </c>
      <c r="M209" s="1518" t="s">
        <v>3541</v>
      </c>
      <c r="N209" s="603" t="s">
        <v>2731</v>
      </c>
      <c r="O209" s="754" t="s">
        <v>3950</v>
      </c>
      <c r="P209" s="150" t="s">
        <v>3951</v>
      </c>
      <c r="Q209" s="284"/>
      <c r="R209" s="98"/>
      <c r="S209" s="146"/>
      <c r="T209" s="284" t="s">
        <v>3952</v>
      </c>
      <c r="U209" s="284" t="s">
        <v>3953</v>
      </c>
      <c r="W209" s="25"/>
      <c r="X209" s="25"/>
      <c r="Z209" s="25"/>
      <c r="AA209" s="77"/>
      <c r="AB209" s="77"/>
      <c r="AC209" s="274"/>
      <c r="AD209" s="40"/>
      <c r="AE209" s="77"/>
      <c r="AF209" s="77"/>
      <c r="AG209" s="77"/>
      <c r="AH209" s="77"/>
      <c r="AI209" s="77"/>
      <c r="AJ209" s="77"/>
      <c r="AK209" s="77"/>
    </row>
    <row r="210" spans="2:37" ht="10.5" customHeight="1">
      <c r="B210" s="146"/>
      <c r="C210" s="212" t="s">
        <v>3954</v>
      </c>
      <c r="D210" s="247"/>
      <c r="E210" s="146"/>
      <c r="F210" s="146" t="s">
        <v>347</v>
      </c>
      <c r="G210" s="600" t="s">
        <v>3955</v>
      </c>
      <c r="H210" s="600" t="s">
        <v>3703</v>
      </c>
      <c r="I210" s="601" t="s">
        <v>3884</v>
      </c>
      <c r="J210" s="601" t="s">
        <v>3544</v>
      </c>
      <c r="K210" s="602" t="s">
        <v>3956</v>
      </c>
      <c r="L210" s="603" t="s">
        <v>3706</v>
      </c>
      <c r="M210" s="1518" t="s">
        <v>1747</v>
      </c>
      <c r="N210" s="603" t="s">
        <v>2735</v>
      </c>
      <c r="O210" s="754" t="s">
        <v>3957</v>
      </c>
      <c r="P210" s="150" t="s">
        <v>3958</v>
      </c>
      <c r="Q210" s="284"/>
      <c r="R210" s="98"/>
      <c r="S210" s="146"/>
      <c r="T210" s="146" t="s">
        <v>3959</v>
      </c>
      <c r="U210" s="146" t="s">
        <v>3702</v>
      </c>
      <c r="W210" s="25"/>
      <c r="X210" s="25"/>
      <c r="Z210" s="25"/>
      <c r="AA210" s="77"/>
      <c r="AB210" s="77"/>
      <c r="AC210" s="40"/>
      <c r="AD210" s="40"/>
      <c r="AE210" s="77"/>
      <c r="AF210" s="77"/>
      <c r="AG210" s="77"/>
      <c r="AH210" s="77"/>
      <c r="AI210" s="77"/>
      <c r="AJ210" s="77"/>
      <c r="AK210" s="77"/>
    </row>
    <row r="211" spans="2:37" ht="10.5" customHeight="1">
      <c r="B211" s="146"/>
      <c r="C211" s="212" t="s">
        <v>3960</v>
      </c>
      <c r="D211" s="247"/>
      <c r="E211" s="146"/>
      <c r="F211" s="146" t="s">
        <v>349</v>
      </c>
      <c r="G211" s="600" t="s">
        <v>3961</v>
      </c>
      <c r="H211" s="600" t="s">
        <v>3703</v>
      </c>
      <c r="I211" s="601" t="s">
        <v>3889</v>
      </c>
      <c r="J211" s="601" t="s">
        <v>3544</v>
      </c>
      <c r="K211" s="602" t="s">
        <v>3962</v>
      </c>
      <c r="L211" s="603" t="s">
        <v>3706</v>
      </c>
      <c r="M211" s="1518" t="s">
        <v>1747</v>
      </c>
      <c r="N211" s="603" t="s">
        <v>2128</v>
      </c>
      <c r="O211" s="754" t="s">
        <v>3963</v>
      </c>
      <c r="P211" s="150" t="s">
        <v>3964</v>
      </c>
      <c r="Q211" s="284"/>
      <c r="R211" s="98"/>
      <c r="S211" s="146"/>
      <c r="T211" s="284" t="s">
        <v>3965</v>
      </c>
      <c r="U211" s="284" t="s">
        <v>119</v>
      </c>
      <c r="W211" s="25"/>
      <c r="X211" s="25"/>
      <c r="Z211" s="25"/>
      <c r="AA211" s="77"/>
      <c r="AB211" s="77"/>
      <c r="AC211" s="274"/>
      <c r="AD211" s="40"/>
      <c r="AE211" s="77"/>
      <c r="AF211" s="77"/>
      <c r="AG211" s="77"/>
      <c r="AH211" s="77"/>
      <c r="AI211" s="77"/>
      <c r="AJ211" s="77"/>
      <c r="AK211" s="77"/>
    </row>
    <row r="212" spans="2:37" ht="10.5" customHeight="1">
      <c r="B212" s="146"/>
      <c r="C212" s="212" t="s">
        <v>3966</v>
      </c>
      <c r="D212" s="247"/>
      <c r="E212" s="146"/>
      <c r="F212" s="146" t="s">
        <v>348</v>
      </c>
      <c r="G212" s="600" t="s">
        <v>164</v>
      </c>
      <c r="H212" s="600" t="s">
        <v>3703</v>
      </c>
      <c r="I212" s="604" t="s">
        <v>2128</v>
      </c>
      <c r="J212" s="604" t="s">
        <v>2726</v>
      </c>
      <c r="K212" s="602" t="s">
        <v>3967</v>
      </c>
      <c r="L212" s="603" t="s">
        <v>3727</v>
      </c>
      <c r="M212" s="1518" t="s">
        <v>3541</v>
      </c>
      <c r="N212" s="603" t="s">
        <v>2128</v>
      </c>
      <c r="O212" s="754" t="s">
        <v>3968</v>
      </c>
      <c r="P212" s="150" t="s">
        <v>3969</v>
      </c>
      <c r="Q212" s="284"/>
      <c r="R212" s="98"/>
      <c r="S212" s="146"/>
      <c r="T212" s="284" t="s">
        <v>97</v>
      </c>
      <c r="U212" s="284" t="s">
        <v>98</v>
      </c>
      <c r="W212" s="25"/>
      <c r="X212" s="25"/>
      <c r="Z212" s="25"/>
      <c r="AA212" s="77"/>
      <c r="AB212" s="77"/>
      <c r="AC212" s="274"/>
      <c r="AD212" s="40"/>
      <c r="AE212" s="77"/>
      <c r="AF212" s="77"/>
      <c r="AG212" s="77"/>
      <c r="AH212" s="77"/>
      <c r="AI212" s="77"/>
      <c r="AJ212" s="77"/>
      <c r="AK212" s="77"/>
    </row>
    <row r="213" spans="2:37" ht="10.5" customHeight="1">
      <c r="B213" s="146"/>
      <c r="C213" s="212" t="s">
        <v>3970</v>
      </c>
      <c r="D213" s="247"/>
      <c r="E213" s="146"/>
      <c r="F213" s="146" t="s">
        <v>350</v>
      </c>
      <c r="G213" s="600" t="s">
        <v>148</v>
      </c>
      <c r="H213" s="600" t="s">
        <v>770</v>
      </c>
      <c r="I213" s="604" t="s">
        <v>3732</v>
      </c>
      <c r="J213" s="604" t="s">
        <v>2726</v>
      </c>
      <c r="K213" s="602" t="s">
        <v>3747</v>
      </c>
      <c r="L213" s="603" t="s">
        <v>3727</v>
      </c>
      <c r="M213" s="1518" t="s">
        <v>3541</v>
      </c>
      <c r="N213" s="603" t="s">
        <v>2731</v>
      </c>
      <c r="O213" s="754" t="s">
        <v>3971</v>
      </c>
      <c r="P213" s="150" t="s">
        <v>3972</v>
      </c>
      <c r="Q213" s="284"/>
      <c r="R213" s="98"/>
      <c r="S213" s="146"/>
      <c r="T213" s="284" t="s">
        <v>3973</v>
      </c>
      <c r="U213" s="284" t="s">
        <v>3974</v>
      </c>
      <c r="W213" s="25"/>
      <c r="X213" s="25"/>
      <c r="Z213" s="25"/>
      <c r="AA213" s="77"/>
      <c r="AB213" s="77"/>
      <c r="AC213" s="274"/>
      <c r="AD213" s="40"/>
      <c r="AE213" s="77"/>
      <c r="AF213" s="77"/>
      <c r="AG213" s="77"/>
      <c r="AH213" s="77"/>
      <c r="AI213" s="77"/>
      <c r="AJ213" s="77"/>
      <c r="AK213" s="77"/>
    </row>
    <row r="214" spans="2:37" ht="10.5" customHeight="1">
      <c r="B214" s="146"/>
      <c r="C214" s="212" t="s">
        <v>3975</v>
      </c>
      <c r="D214" s="247"/>
      <c r="E214" s="146"/>
      <c r="F214" s="146" t="s">
        <v>352</v>
      </c>
      <c r="G214" s="600" t="s">
        <v>3976</v>
      </c>
      <c r="H214" s="600" t="s">
        <v>3703</v>
      </c>
      <c r="I214" s="601" t="s">
        <v>3894</v>
      </c>
      <c r="J214" s="601" t="s">
        <v>3544</v>
      </c>
      <c r="K214" s="602" t="s">
        <v>3977</v>
      </c>
      <c r="L214" s="603" t="s">
        <v>3706</v>
      </c>
      <c r="M214" s="1518" t="s">
        <v>1747</v>
      </c>
      <c r="N214" s="603" t="s">
        <v>2128</v>
      </c>
      <c r="O214" s="754" t="s">
        <v>3978</v>
      </c>
      <c r="P214" s="150" t="s">
        <v>3979</v>
      </c>
      <c r="Q214" s="284"/>
      <c r="R214" s="98"/>
      <c r="S214" s="146"/>
      <c r="T214" s="284" t="s">
        <v>3980</v>
      </c>
      <c r="U214" s="284" t="s">
        <v>3904</v>
      </c>
      <c r="W214" s="25"/>
      <c r="X214" s="25"/>
      <c r="Z214" s="25"/>
      <c r="AA214" s="77"/>
      <c r="AB214" s="77"/>
      <c r="AC214" s="274"/>
      <c r="AD214" s="40"/>
      <c r="AE214" s="77"/>
      <c r="AF214" s="77"/>
      <c r="AG214" s="77"/>
      <c r="AH214" s="77"/>
      <c r="AI214" s="77"/>
      <c r="AJ214" s="77"/>
      <c r="AK214" s="77"/>
    </row>
    <row r="215" spans="2:37" ht="10.5" customHeight="1">
      <c r="B215" s="146"/>
      <c r="C215" s="212" t="s">
        <v>3981</v>
      </c>
      <c r="D215" s="247"/>
      <c r="E215" s="146"/>
      <c r="F215" s="146" t="s">
        <v>351</v>
      </c>
      <c r="G215" s="600" t="s">
        <v>3982</v>
      </c>
      <c r="H215" s="600" t="s">
        <v>3703</v>
      </c>
      <c r="I215" s="601" t="s">
        <v>2214</v>
      </c>
      <c r="J215" s="601" t="s">
        <v>2726</v>
      </c>
      <c r="K215" s="602" t="s">
        <v>3789</v>
      </c>
      <c r="L215" s="603" t="s">
        <v>3727</v>
      </c>
      <c r="M215" s="1518" t="s">
        <v>1747</v>
      </c>
      <c r="N215" s="603" t="s">
        <v>2214</v>
      </c>
      <c r="O215" s="754" t="s">
        <v>3983</v>
      </c>
      <c r="P215" s="150" t="s">
        <v>3984</v>
      </c>
      <c r="Q215" s="284"/>
      <c r="R215" s="98"/>
      <c r="S215" s="146"/>
      <c r="T215" s="284" t="s">
        <v>3985</v>
      </c>
      <c r="U215" s="284" t="s">
        <v>173</v>
      </c>
      <c r="W215" s="25"/>
      <c r="X215" s="25"/>
      <c r="Z215" s="25"/>
      <c r="AA215" s="77"/>
      <c r="AB215" s="77"/>
      <c r="AC215" s="274"/>
      <c r="AD215" s="40"/>
      <c r="AE215" s="77"/>
      <c r="AF215" s="77"/>
      <c r="AG215" s="77"/>
      <c r="AH215" s="77"/>
      <c r="AI215" s="77"/>
      <c r="AJ215" s="77"/>
      <c r="AK215" s="77"/>
    </row>
    <row r="216" spans="2:37" ht="10.5" customHeight="1">
      <c r="B216" s="146"/>
      <c r="C216" s="211" t="s">
        <v>3986</v>
      </c>
      <c r="D216" s="247"/>
      <c r="E216" s="146"/>
      <c r="F216" s="146" t="s">
        <v>353</v>
      </c>
      <c r="G216" s="600" t="s">
        <v>3987</v>
      </c>
      <c r="H216" s="600" t="s">
        <v>3703</v>
      </c>
      <c r="I216" s="604" t="s">
        <v>2736</v>
      </c>
      <c r="J216" s="604" t="s">
        <v>2726</v>
      </c>
      <c r="K216" s="602" t="s">
        <v>3795</v>
      </c>
      <c r="L216" s="603" t="s">
        <v>3727</v>
      </c>
      <c r="M216" s="1518" t="s">
        <v>1747</v>
      </c>
      <c r="N216" s="603" t="s">
        <v>2736</v>
      </c>
      <c r="O216" s="754" t="s">
        <v>3988</v>
      </c>
      <c r="P216" s="150" t="s">
        <v>3989</v>
      </c>
      <c r="Q216" s="150"/>
      <c r="R216" s="98"/>
      <c r="S216" s="146"/>
      <c r="T216" s="284" t="s">
        <v>3990</v>
      </c>
      <c r="U216" s="284" t="s">
        <v>3991</v>
      </c>
      <c r="W216" s="25"/>
      <c r="X216" s="25"/>
      <c r="Z216" s="25"/>
      <c r="AA216" s="77"/>
      <c r="AB216" s="77"/>
      <c r="AC216" s="274"/>
      <c r="AD216" s="274"/>
      <c r="AE216" s="77"/>
      <c r="AF216" s="77"/>
      <c r="AG216" s="77"/>
      <c r="AH216" s="77"/>
      <c r="AI216" s="77"/>
      <c r="AJ216" s="77"/>
      <c r="AK216" s="77"/>
    </row>
    <row r="217" spans="2:37" ht="10.5" customHeight="1">
      <c r="B217" s="146"/>
      <c r="C217" s="212" t="s">
        <v>3992</v>
      </c>
      <c r="D217" s="247"/>
      <c r="E217" s="146"/>
      <c r="F217" s="300"/>
      <c r="G217" s="600" t="s">
        <v>3993</v>
      </c>
      <c r="H217" s="600" t="s">
        <v>770</v>
      </c>
      <c r="I217" s="601" t="s">
        <v>3898</v>
      </c>
      <c r="J217" s="601" t="s">
        <v>3544</v>
      </c>
      <c r="K217" s="602" t="s">
        <v>3994</v>
      </c>
      <c r="L217" s="603" t="s">
        <v>3706</v>
      </c>
      <c r="M217" s="1518" t="s">
        <v>1747</v>
      </c>
      <c r="N217" s="603" t="s">
        <v>2730</v>
      </c>
      <c r="O217" s="754" t="s">
        <v>3995</v>
      </c>
      <c r="P217" s="150" t="s">
        <v>3996</v>
      </c>
      <c r="Q217" s="150"/>
      <c r="R217" s="98"/>
      <c r="S217" s="146"/>
      <c r="T217" s="284" t="s">
        <v>3997</v>
      </c>
      <c r="U217" s="284" t="s">
        <v>3998</v>
      </c>
      <c r="W217" s="25"/>
      <c r="X217" s="25"/>
      <c r="Z217" s="25"/>
      <c r="AA217" s="77"/>
      <c r="AB217" s="77"/>
      <c r="AC217" s="274"/>
      <c r="AD217" s="40"/>
      <c r="AE217" s="77"/>
      <c r="AF217" s="77"/>
      <c r="AG217" s="77"/>
      <c r="AH217" s="77"/>
      <c r="AI217" s="77"/>
      <c r="AJ217" s="77"/>
      <c r="AK217" s="77"/>
    </row>
    <row r="218" spans="2:37" ht="10.5" customHeight="1">
      <c r="B218" s="146"/>
      <c r="C218" s="211" t="s">
        <v>3999</v>
      </c>
      <c r="D218" s="247"/>
      <c r="E218" s="146"/>
      <c r="F218" s="300"/>
      <c r="G218" s="600" t="s">
        <v>4000</v>
      </c>
      <c r="H218" s="600" t="s">
        <v>3703</v>
      </c>
      <c r="I218" s="601" t="s">
        <v>3903</v>
      </c>
      <c r="J218" s="601" t="s">
        <v>3544</v>
      </c>
      <c r="K218" s="602" t="s">
        <v>4001</v>
      </c>
      <c r="L218" s="603" t="s">
        <v>3706</v>
      </c>
      <c r="M218" s="1518" t="s">
        <v>1747</v>
      </c>
      <c r="N218" s="603" t="s">
        <v>2732</v>
      </c>
      <c r="O218" s="754" t="s">
        <v>4002</v>
      </c>
      <c r="P218" s="150" t="s">
        <v>4003</v>
      </c>
      <c r="Q218" s="150"/>
      <c r="R218" s="98"/>
      <c r="S218" s="146"/>
      <c r="T218" s="146" t="s">
        <v>4004</v>
      </c>
      <c r="U218" s="146" t="s">
        <v>4005</v>
      </c>
      <c r="W218" s="25"/>
      <c r="X218" s="25"/>
      <c r="Z218" s="25"/>
      <c r="AA218" s="77"/>
      <c r="AB218" s="77"/>
      <c r="AC218" s="40"/>
      <c r="AD218" s="40"/>
      <c r="AE218" s="77"/>
      <c r="AF218" s="77"/>
      <c r="AG218" s="77"/>
      <c r="AH218" s="77"/>
      <c r="AI218" s="77"/>
      <c r="AJ218" s="77"/>
      <c r="AK218" s="77"/>
    </row>
    <row r="219" spans="2:37" ht="10.5" customHeight="1">
      <c r="B219" s="146"/>
      <c r="C219" s="212" t="s">
        <v>4006</v>
      </c>
      <c r="D219" s="247"/>
      <c r="E219" s="146"/>
      <c r="F219" s="300"/>
      <c r="G219" s="600" t="s">
        <v>119</v>
      </c>
      <c r="H219" s="600" t="s">
        <v>3703</v>
      </c>
      <c r="I219" s="601" t="s">
        <v>3910</v>
      </c>
      <c r="J219" s="601" t="s">
        <v>3544</v>
      </c>
      <c r="K219" s="602" t="s">
        <v>4007</v>
      </c>
      <c r="L219" s="603" t="s">
        <v>3706</v>
      </c>
      <c r="M219" s="1518" t="s">
        <v>1747</v>
      </c>
      <c r="N219" s="603" t="s">
        <v>2736</v>
      </c>
      <c r="O219" s="754" t="s">
        <v>4008</v>
      </c>
      <c r="P219" s="150" t="s">
        <v>4009</v>
      </c>
      <c r="Q219" s="150"/>
      <c r="R219" s="98"/>
      <c r="S219" s="146"/>
      <c r="T219" s="284" t="s">
        <v>4010</v>
      </c>
      <c r="U219" s="284" t="s">
        <v>4011</v>
      </c>
      <c r="W219" s="25"/>
      <c r="X219" s="25"/>
      <c r="Z219" s="25"/>
      <c r="AA219" s="77"/>
      <c r="AB219" s="77"/>
      <c r="AC219" s="274"/>
      <c r="AD219" s="274"/>
      <c r="AE219" s="77"/>
      <c r="AF219" s="77"/>
      <c r="AG219" s="77"/>
      <c r="AH219" s="77"/>
      <c r="AI219" s="77"/>
      <c r="AJ219" s="77"/>
      <c r="AK219" s="77"/>
    </row>
    <row r="220" spans="2:37" ht="10.5" customHeight="1">
      <c r="B220" s="146"/>
      <c r="C220" s="212" t="s">
        <v>4012</v>
      </c>
      <c r="D220" s="247"/>
      <c r="E220" s="146"/>
      <c r="F220" s="300"/>
      <c r="G220" s="600" t="s">
        <v>4013</v>
      </c>
      <c r="H220" s="600" t="s">
        <v>770</v>
      </c>
      <c r="I220" s="601" t="s">
        <v>3915</v>
      </c>
      <c r="J220" s="601" t="s">
        <v>3544</v>
      </c>
      <c r="K220" s="602" t="s">
        <v>4014</v>
      </c>
      <c r="L220" s="603" t="s">
        <v>3706</v>
      </c>
      <c r="M220" s="1518" t="s">
        <v>1747</v>
      </c>
      <c r="N220" s="603" t="s">
        <v>2731</v>
      </c>
      <c r="O220" s="754" t="s">
        <v>4015</v>
      </c>
      <c r="P220" s="150" t="s">
        <v>4016</v>
      </c>
      <c r="Q220" s="150"/>
      <c r="R220" s="98"/>
      <c r="S220" s="146"/>
      <c r="T220" s="284" t="s">
        <v>100</v>
      </c>
      <c r="U220" s="284" t="s">
        <v>101</v>
      </c>
      <c r="W220" s="25"/>
      <c r="X220" s="25"/>
      <c r="Z220" s="25"/>
      <c r="AA220" s="77"/>
      <c r="AB220" s="77"/>
      <c r="AC220" s="274"/>
      <c r="AD220" s="40"/>
      <c r="AE220" s="77"/>
      <c r="AF220" s="77"/>
      <c r="AG220" s="77"/>
      <c r="AH220" s="77"/>
      <c r="AI220" s="77"/>
      <c r="AJ220" s="77"/>
      <c r="AK220" s="77"/>
    </row>
    <row r="221" spans="2:37" ht="10.5" customHeight="1">
      <c r="B221" s="146"/>
      <c r="C221" s="212" t="s">
        <v>4017</v>
      </c>
      <c r="D221" s="247"/>
      <c r="E221" s="146"/>
      <c r="F221" s="300"/>
      <c r="G221" s="600" t="s">
        <v>4018</v>
      </c>
      <c r="H221" s="600" t="s">
        <v>770</v>
      </c>
      <c r="I221" s="604" t="s">
        <v>3732</v>
      </c>
      <c r="J221" s="604" t="s">
        <v>2726</v>
      </c>
      <c r="K221" s="602" t="s">
        <v>3747</v>
      </c>
      <c r="L221" s="603" t="s">
        <v>3727</v>
      </c>
      <c r="M221" s="1518" t="s">
        <v>3541</v>
      </c>
      <c r="N221" s="603" t="s">
        <v>2731</v>
      </c>
      <c r="O221" s="754" t="s">
        <v>4019</v>
      </c>
      <c r="P221" s="150" t="s">
        <v>4020</v>
      </c>
      <c r="Q221" s="150"/>
      <c r="R221" s="98"/>
      <c r="S221" s="146"/>
      <c r="T221" s="284" t="s">
        <v>4021</v>
      </c>
      <c r="U221" s="284" t="s">
        <v>4022</v>
      </c>
      <c r="W221" s="25"/>
      <c r="X221" s="25"/>
      <c r="Z221" s="25"/>
      <c r="AA221" s="77"/>
      <c r="AB221" s="77"/>
      <c r="AC221" s="274"/>
      <c r="AD221" s="40"/>
      <c r="AE221" s="77"/>
      <c r="AF221" s="77"/>
      <c r="AG221" s="77"/>
      <c r="AH221" s="77"/>
      <c r="AI221" s="77"/>
      <c r="AJ221" s="77"/>
      <c r="AK221" s="77"/>
    </row>
    <row r="222" spans="2:37" ht="10.5" customHeight="1">
      <c r="B222" s="146"/>
      <c r="C222" s="212" t="s">
        <v>4023</v>
      </c>
      <c r="D222" s="247"/>
      <c r="E222" s="146"/>
      <c r="F222" s="300"/>
      <c r="G222" s="600" t="s">
        <v>178</v>
      </c>
      <c r="H222" s="600" t="s">
        <v>770</v>
      </c>
      <c r="I222" s="604" t="s">
        <v>2203</v>
      </c>
      <c r="J222" s="604" t="s">
        <v>2726</v>
      </c>
      <c r="K222" s="602" t="s">
        <v>4024</v>
      </c>
      <c r="L222" s="603" t="s">
        <v>3727</v>
      </c>
      <c r="M222" s="1518" t="s">
        <v>3541</v>
      </c>
      <c r="N222" s="603" t="s">
        <v>2731</v>
      </c>
      <c r="O222" s="754" t="s">
        <v>4025</v>
      </c>
      <c r="P222" s="150" t="s">
        <v>4026</v>
      </c>
      <c r="Q222" s="150"/>
      <c r="R222" s="98"/>
      <c r="S222" s="146"/>
      <c r="T222" s="284" t="s">
        <v>4027</v>
      </c>
      <c r="U222" s="284" t="s">
        <v>3976</v>
      </c>
      <c r="W222" s="25"/>
      <c r="X222" s="25"/>
      <c r="Z222" s="25"/>
      <c r="AA222" s="77"/>
      <c r="AB222" s="77"/>
      <c r="AC222" s="274"/>
      <c r="AD222" s="40"/>
      <c r="AE222" s="77"/>
      <c r="AF222" s="77"/>
      <c r="AG222" s="77"/>
      <c r="AH222" s="77"/>
      <c r="AI222" s="77"/>
      <c r="AJ222" s="77"/>
      <c r="AK222" s="77"/>
    </row>
    <row r="223" spans="2:37" ht="10.5" customHeight="1">
      <c r="B223" s="146"/>
      <c r="C223" s="212" t="s">
        <v>4028</v>
      </c>
      <c r="D223" s="247"/>
      <c r="E223" s="146"/>
      <c r="F223" s="300"/>
      <c r="G223" s="600" t="s">
        <v>4029</v>
      </c>
      <c r="H223" s="600" t="s">
        <v>770</v>
      </c>
      <c r="I223" s="604" t="s">
        <v>3732</v>
      </c>
      <c r="J223" s="604" t="s">
        <v>2726</v>
      </c>
      <c r="K223" s="602" t="s">
        <v>3747</v>
      </c>
      <c r="L223" s="603" t="s">
        <v>3727</v>
      </c>
      <c r="M223" s="1518" t="s">
        <v>3541</v>
      </c>
      <c r="N223" s="603" t="s">
        <v>2731</v>
      </c>
      <c r="O223" s="754" t="s">
        <v>4030</v>
      </c>
      <c r="P223" s="150" t="s">
        <v>4031</v>
      </c>
      <c r="Q223" s="150"/>
      <c r="R223" s="98"/>
      <c r="S223" s="146"/>
      <c r="T223" s="284" t="s">
        <v>4032</v>
      </c>
      <c r="U223" s="284" t="s">
        <v>140</v>
      </c>
      <c r="W223" s="25"/>
      <c r="X223" s="25"/>
      <c r="Z223" s="25"/>
      <c r="AA223" s="77"/>
      <c r="AB223" s="77"/>
      <c r="AC223" s="274"/>
      <c r="AD223" s="40"/>
      <c r="AE223" s="77"/>
      <c r="AF223" s="77"/>
      <c r="AG223" s="77"/>
      <c r="AH223" s="77"/>
      <c r="AI223" s="77"/>
      <c r="AJ223" s="77"/>
      <c r="AK223" s="77"/>
    </row>
    <row r="224" spans="2:37" ht="10.5" customHeight="1">
      <c r="B224" s="146"/>
      <c r="C224" s="212" t="s">
        <v>4033</v>
      </c>
      <c r="D224" s="247"/>
      <c r="E224" s="146"/>
      <c r="F224" s="300"/>
      <c r="G224" s="600" t="s">
        <v>4034</v>
      </c>
      <c r="H224" s="600" t="s">
        <v>770</v>
      </c>
      <c r="I224" s="604" t="s">
        <v>3920</v>
      </c>
      <c r="J224" s="604" t="s">
        <v>3544</v>
      </c>
      <c r="K224" s="602" t="s">
        <v>4035</v>
      </c>
      <c r="L224" s="603" t="s">
        <v>3706</v>
      </c>
      <c r="M224" s="1518" t="s">
        <v>1747</v>
      </c>
      <c r="N224" s="603" t="s">
        <v>2730</v>
      </c>
      <c r="O224" s="754" t="s">
        <v>4036</v>
      </c>
      <c r="P224" s="150" t="s">
        <v>4037</v>
      </c>
      <c r="Q224" s="150"/>
      <c r="R224" s="98"/>
      <c r="S224" s="146"/>
      <c r="T224" s="284" t="s">
        <v>59</v>
      </c>
      <c r="U224" s="284" t="s">
        <v>4013</v>
      </c>
      <c r="W224" s="25"/>
      <c r="X224" s="25"/>
      <c r="Z224" s="25"/>
      <c r="AA224" s="77"/>
      <c r="AB224" s="77"/>
      <c r="AC224" s="274"/>
      <c r="AD224" s="40"/>
      <c r="AE224" s="77"/>
      <c r="AF224" s="77"/>
      <c r="AG224" s="77"/>
      <c r="AH224" s="77"/>
      <c r="AI224" s="77"/>
      <c r="AJ224" s="77"/>
      <c r="AK224" s="77"/>
    </row>
    <row r="225" spans="2:37" ht="10.5" customHeight="1">
      <c r="B225" s="146"/>
      <c r="C225" s="212" t="s">
        <v>4038</v>
      </c>
      <c r="D225" s="247"/>
      <c r="E225" s="146"/>
      <c r="F225" s="300"/>
      <c r="G225" s="600" t="s">
        <v>156</v>
      </c>
      <c r="H225" s="600" t="s">
        <v>3768</v>
      </c>
      <c r="I225" s="604" t="s">
        <v>3732</v>
      </c>
      <c r="J225" s="604" t="s">
        <v>2726</v>
      </c>
      <c r="K225" s="602" t="s">
        <v>3747</v>
      </c>
      <c r="L225" s="603" t="s">
        <v>3727</v>
      </c>
      <c r="M225" s="1518" t="s">
        <v>3541</v>
      </c>
      <c r="N225" s="603" t="s">
        <v>2731</v>
      </c>
      <c r="O225" s="754" t="s">
        <v>4039</v>
      </c>
      <c r="P225" s="150" t="s">
        <v>4040</v>
      </c>
      <c r="Q225" s="150"/>
      <c r="R225" s="98"/>
      <c r="S225" s="146"/>
      <c r="T225" s="284" t="s">
        <v>4041</v>
      </c>
      <c r="U225" s="284" t="s">
        <v>3880</v>
      </c>
      <c r="W225" s="25"/>
      <c r="X225" s="25"/>
      <c r="Z225" s="25"/>
      <c r="AA225" s="77"/>
      <c r="AB225" s="77"/>
      <c r="AC225" s="274"/>
      <c r="AD225" s="40"/>
      <c r="AE225" s="77"/>
      <c r="AF225" s="77"/>
      <c r="AG225" s="77"/>
      <c r="AH225" s="77"/>
      <c r="AI225" s="77"/>
      <c r="AJ225" s="77"/>
      <c r="AK225" s="77"/>
    </row>
    <row r="226" spans="2:37" ht="10.5" customHeight="1">
      <c r="B226" s="146"/>
      <c r="C226" s="212" t="s">
        <v>2735</v>
      </c>
      <c r="D226" s="247"/>
      <c r="E226" s="146"/>
      <c r="F226" s="300"/>
      <c r="G226" s="600" t="s">
        <v>4042</v>
      </c>
      <c r="H226" s="600" t="s">
        <v>770</v>
      </c>
      <c r="I226" s="601" t="s">
        <v>3930</v>
      </c>
      <c r="J226" s="601" t="s">
        <v>3544</v>
      </c>
      <c r="K226" s="602" t="s">
        <v>4043</v>
      </c>
      <c r="L226" s="603" t="s">
        <v>3706</v>
      </c>
      <c r="M226" s="1518" t="s">
        <v>1747</v>
      </c>
      <c r="N226" s="603" t="s">
        <v>2731</v>
      </c>
      <c r="O226" s="754" t="s">
        <v>4044</v>
      </c>
      <c r="P226" s="150" t="s">
        <v>4045</v>
      </c>
      <c r="Q226" s="150"/>
      <c r="R226" s="98"/>
      <c r="S226" s="146"/>
      <c r="T226" s="146" t="s">
        <v>4046</v>
      </c>
      <c r="U226" s="146" t="s">
        <v>3897</v>
      </c>
      <c r="W226" s="25"/>
      <c r="X226" s="25"/>
      <c r="Z226" s="25"/>
      <c r="AA226" s="77"/>
      <c r="AB226" s="77"/>
      <c r="AC226" s="40"/>
      <c r="AD226" s="40"/>
      <c r="AE226" s="77"/>
      <c r="AF226" s="77"/>
      <c r="AG226" s="77"/>
      <c r="AH226" s="77"/>
      <c r="AI226" s="77"/>
      <c r="AJ226" s="77"/>
      <c r="AK226" s="77"/>
    </row>
    <row r="227" spans="2:37" ht="10.5" customHeight="1">
      <c r="B227" s="146"/>
      <c r="C227" s="212" t="s">
        <v>4047</v>
      </c>
      <c r="D227" s="247"/>
      <c r="E227" s="146"/>
      <c r="F227" s="300"/>
      <c r="G227" s="600" t="s">
        <v>4048</v>
      </c>
      <c r="H227" s="600" t="s">
        <v>770</v>
      </c>
      <c r="I227" s="604" t="s">
        <v>3934</v>
      </c>
      <c r="J227" s="604" t="s">
        <v>3544</v>
      </c>
      <c r="K227" s="602" t="s">
        <v>4049</v>
      </c>
      <c r="L227" s="603" t="s">
        <v>3706</v>
      </c>
      <c r="M227" s="1518" t="s">
        <v>1747</v>
      </c>
      <c r="N227" s="603" t="s">
        <v>2732</v>
      </c>
      <c r="O227" s="754" t="s">
        <v>4050</v>
      </c>
      <c r="P227" s="150" t="s">
        <v>4051</v>
      </c>
      <c r="Q227" s="150"/>
      <c r="R227" s="98"/>
      <c r="S227" s="146"/>
      <c r="T227" s="284" t="s">
        <v>4052</v>
      </c>
      <c r="U227" s="284" t="s">
        <v>4005</v>
      </c>
      <c r="W227" s="25"/>
      <c r="X227" s="25"/>
      <c r="Z227" s="25"/>
      <c r="AA227" s="77"/>
      <c r="AB227" s="77"/>
      <c r="AC227" s="274"/>
      <c r="AD227" s="40"/>
      <c r="AE227" s="77"/>
      <c r="AF227" s="77"/>
      <c r="AG227" s="77"/>
      <c r="AH227" s="77"/>
      <c r="AI227" s="77"/>
      <c r="AJ227" s="77"/>
      <c r="AK227" s="77"/>
    </row>
    <row r="228" spans="2:37" ht="10.5" customHeight="1">
      <c r="B228" s="146"/>
      <c r="C228" s="212" t="s">
        <v>4053</v>
      </c>
      <c r="D228" s="247"/>
      <c r="E228" s="146"/>
      <c r="F228" s="300"/>
      <c r="G228" s="600" t="s">
        <v>113</v>
      </c>
      <c r="H228" s="600" t="s">
        <v>3768</v>
      </c>
      <c r="I228" s="601" t="s">
        <v>3780</v>
      </c>
      <c r="J228" s="601" t="s">
        <v>2726</v>
      </c>
      <c r="K228" s="602" t="s">
        <v>3782</v>
      </c>
      <c r="L228" s="603" t="s">
        <v>3727</v>
      </c>
      <c r="M228" s="1518" t="s">
        <v>3541</v>
      </c>
      <c r="N228" s="603" t="s">
        <v>2736</v>
      </c>
      <c r="O228" s="754" t="s">
        <v>4054</v>
      </c>
      <c r="P228" s="150" t="s">
        <v>4055</v>
      </c>
      <c r="Q228" s="150"/>
      <c r="R228" s="98"/>
      <c r="S228" s="146"/>
      <c r="T228" s="284" t="s">
        <v>102</v>
      </c>
      <c r="U228" s="284" t="s">
        <v>103</v>
      </c>
      <c r="W228" s="25"/>
      <c r="X228" s="25"/>
      <c r="Z228" s="25"/>
      <c r="AA228" s="77"/>
      <c r="AB228" s="77"/>
      <c r="AC228" s="274"/>
      <c r="AD228" s="40"/>
      <c r="AE228" s="77"/>
      <c r="AF228" s="77"/>
      <c r="AG228" s="77"/>
      <c r="AH228" s="77"/>
      <c r="AI228" s="77"/>
      <c r="AJ228" s="77"/>
      <c r="AK228" s="77"/>
    </row>
    <row r="229" spans="2:37" ht="10.5" customHeight="1">
      <c r="B229" s="146"/>
      <c r="C229" s="212" t="s">
        <v>4056</v>
      </c>
      <c r="D229" s="247"/>
      <c r="E229" s="146"/>
      <c r="F229" s="300"/>
      <c r="G229" s="600" t="s">
        <v>4057</v>
      </c>
      <c r="H229" s="600" t="s">
        <v>770</v>
      </c>
      <c r="I229" s="601" t="s">
        <v>3939</v>
      </c>
      <c r="J229" s="601" t="s">
        <v>3544</v>
      </c>
      <c r="K229" s="602" t="s">
        <v>4058</v>
      </c>
      <c r="L229" s="603" t="s">
        <v>3706</v>
      </c>
      <c r="M229" s="1518" t="s">
        <v>1747</v>
      </c>
      <c r="N229" s="603" t="s">
        <v>2731</v>
      </c>
      <c r="O229" s="754" t="s">
        <v>4059</v>
      </c>
      <c r="P229" s="150" t="s">
        <v>4060</v>
      </c>
      <c r="Q229" s="150"/>
      <c r="R229" s="98"/>
      <c r="S229" s="146"/>
      <c r="T229" s="284" t="s">
        <v>4061</v>
      </c>
      <c r="U229" s="284" t="s">
        <v>3953</v>
      </c>
      <c r="W229" s="25"/>
      <c r="X229" s="25"/>
      <c r="Z229" s="25"/>
      <c r="AA229" s="77"/>
      <c r="AB229" s="77"/>
      <c r="AC229" s="274"/>
      <c r="AD229" s="40"/>
      <c r="AE229" s="77"/>
      <c r="AF229" s="77"/>
      <c r="AG229" s="77"/>
      <c r="AH229" s="77"/>
      <c r="AI229" s="77"/>
      <c r="AJ229" s="77"/>
      <c r="AK229" s="77"/>
    </row>
    <row r="230" spans="2:37" ht="10.5" customHeight="1">
      <c r="B230" s="146"/>
      <c r="C230" s="212" t="s">
        <v>4062</v>
      </c>
      <c r="D230" s="247"/>
      <c r="E230" s="146"/>
      <c r="F230" s="300"/>
      <c r="G230" s="600" t="s">
        <v>4063</v>
      </c>
      <c r="H230" s="600" t="s">
        <v>3703</v>
      </c>
      <c r="I230" s="601" t="s">
        <v>3944</v>
      </c>
      <c r="J230" s="601" t="s">
        <v>3544</v>
      </c>
      <c r="K230" s="602" t="s">
        <v>4064</v>
      </c>
      <c r="L230" s="603" t="s">
        <v>3706</v>
      </c>
      <c r="M230" s="1518" t="s">
        <v>1747</v>
      </c>
      <c r="N230" s="603" t="s">
        <v>2128</v>
      </c>
      <c r="O230" s="754" t="s">
        <v>4065</v>
      </c>
      <c r="P230" s="150" t="s">
        <v>4066</v>
      </c>
      <c r="Q230" s="150"/>
      <c r="R230" s="98"/>
      <c r="S230" s="146"/>
      <c r="T230" s="284" t="s">
        <v>4067</v>
      </c>
      <c r="U230" s="284" t="s">
        <v>4068</v>
      </c>
      <c r="W230" s="25"/>
      <c r="X230" s="25"/>
      <c r="Z230" s="25"/>
      <c r="AA230" s="77"/>
      <c r="AB230" s="77"/>
      <c r="AC230" s="274"/>
      <c r="AD230" s="40"/>
      <c r="AE230" s="77"/>
      <c r="AF230" s="77"/>
      <c r="AG230" s="77"/>
      <c r="AH230" s="77"/>
      <c r="AI230" s="77"/>
      <c r="AJ230" s="77"/>
      <c r="AK230" s="77"/>
    </row>
    <row r="231" spans="2:37" ht="10.5" customHeight="1">
      <c r="B231" s="146"/>
      <c r="C231" s="212" t="s">
        <v>4069</v>
      </c>
      <c r="D231" s="247"/>
      <c r="E231" s="146"/>
      <c r="F231" s="300"/>
      <c r="G231" s="600" t="s">
        <v>4070</v>
      </c>
      <c r="H231" s="600" t="s">
        <v>770</v>
      </c>
      <c r="I231" s="601" t="s">
        <v>3948</v>
      </c>
      <c r="J231" s="601" t="s">
        <v>3544</v>
      </c>
      <c r="K231" s="602" t="s">
        <v>4071</v>
      </c>
      <c r="L231" s="603" t="s">
        <v>3706</v>
      </c>
      <c r="M231" s="1518" t="s">
        <v>1747</v>
      </c>
      <c r="N231" s="603" t="s">
        <v>2730</v>
      </c>
      <c r="O231" s="754" t="s">
        <v>4072</v>
      </c>
      <c r="P231" s="150" t="s">
        <v>4073</v>
      </c>
      <c r="Q231" s="150"/>
      <c r="R231" s="98"/>
      <c r="S231" s="146"/>
      <c r="T231" s="284" t="s">
        <v>4074</v>
      </c>
      <c r="U231" s="284" t="s">
        <v>3834</v>
      </c>
      <c r="W231" s="25"/>
      <c r="X231" s="25"/>
      <c r="Z231" s="25"/>
      <c r="AA231" s="77"/>
      <c r="AB231" s="77"/>
      <c r="AC231" s="274"/>
      <c r="AD231" s="40"/>
      <c r="AE231" s="77"/>
      <c r="AF231" s="77"/>
      <c r="AG231" s="77"/>
      <c r="AH231" s="77"/>
      <c r="AI231" s="77"/>
      <c r="AJ231" s="77"/>
      <c r="AK231" s="77"/>
    </row>
    <row r="232" spans="2:37" ht="10.5" customHeight="1">
      <c r="B232" s="146"/>
      <c r="C232" s="212" t="s">
        <v>4075</v>
      </c>
      <c r="D232" s="247"/>
      <c r="E232" s="146"/>
      <c r="F232" s="300"/>
      <c r="G232" s="600" t="s">
        <v>3974</v>
      </c>
      <c r="H232" s="600" t="s">
        <v>770</v>
      </c>
      <c r="I232" s="604" t="s">
        <v>3732</v>
      </c>
      <c r="J232" s="604" t="s">
        <v>2726</v>
      </c>
      <c r="K232" s="602" t="s">
        <v>3747</v>
      </c>
      <c r="L232" s="603" t="s">
        <v>3727</v>
      </c>
      <c r="M232" s="1518" t="s">
        <v>3541</v>
      </c>
      <c r="N232" s="603" t="s">
        <v>2731</v>
      </c>
      <c r="O232" s="754" t="s">
        <v>4076</v>
      </c>
      <c r="P232" s="150" t="s">
        <v>4077</v>
      </c>
      <c r="Q232" s="150"/>
      <c r="R232" s="98"/>
      <c r="S232" s="146"/>
      <c r="T232" s="284" t="s">
        <v>4078</v>
      </c>
      <c r="U232" s="284" t="s">
        <v>169</v>
      </c>
      <c r="W232" s="25"/>
      <c r="X232" s="25"/>
      <c r="Z232" s="25"/>
      <c r="AA232" s="77"/>
      <c r="AB232" s="77"/>
      <c r="AC232" s="274"/>
      <c r="AD232" s="40"/>
      <c r="AE232" s="77"/>
      <c r="AF232" s="77"/>
      <c r="AG232" s="77"/>
      <c r="AH232" s="77"/>
      <c r="AI232" s="77"/>
      <c r="AJ232" s="77"/>
      <c r="AK232" s="77"/>
    </row>
    <row r="233" spans="2:37" ht="10.5" customHeight="1">
      <c r="B233" s="146"/>
      <c r="C233" s="211" t="s">
        <v>4079</v>
      </c>
      <c r="D233" s="247"/>
      <c r="E233" s="146"/>
      <c r="F233" s="300"/>
      <c r="G233" s="600" t="s">
        <v>166</v>
      </c>
      <c r="H233" s="600" t="s">
        <v>770</v>
      </c>
      <c r="I233" s="601" t="s">
        <v>3954</v>
      </c>
      <c r="J233" s="601" t="s">
        <v>3544</v>
      </c>
      <c r="K233" s="602" t="s">
        <v>4080</v>
      </c>
      <c r="L233" s="603" t="s">
        <v>3706</v>
      </c>
      <c r="M233" s="1518" t="s">
        <v>1747</v>
      </c>
      <c r="N233" s="603" t="s">
        <v>2730</v>
      </c>
      <c r="O233" s="754" t="s">
        <v>4081</v>
      </c>
      <c r="P233" s="150" t="s">
        <v>4082</v>
      </c>
      <c r="Q233" s="150"/>
      <c r="R233" s="98"/>
      <c r="S233" s="146"/>
      <c r="T233" s="284" t="s">
        <v>4083</v>
      </c>
      <c r="U233" s="284" t="s">
        <v>3993</v>
      </c>
      <c r="W233" s="25"/>
      <c r="X233" s="25"/>
      <c r="Z233" s="25"/>
      <c r="AA233" s="77"/>
      <c r="AB233" s="77"/>
      <c r="AC233" s="40"/>
      <c r="AD233" s="40"/>
      <c r="AE233" s="77"/>
      <c r="AF233" s="77"/>
      <c r="AG233" s="77"/>
      <c r="AH233" s="77"/>
      <c r="AI233" s="77"/>
      <c r="AJ233" s="77"/>
      <c r="AK233" s="77"/>
    </row>
    <row r="234" spans="2:37" ht="10.5" customHeight="1">
      <c r="B234" s="146"/>
      <c r="C234" s="212" t="s">
        <v>4084</v>
      </c>
      <c r="D234" s="247"/>
      <c r="E234" s="146"/>
      <c r="F234" s="300"/>
      <c r="G234" s="600" t="s">
        <v>4085</v>
      </c>
      <c r="H234" s="600" t="s">
        <v>770</v>
      </c>
      <c r="I234" s="601" t="s">
        <v>3925</v>
      </c>
      <c r="J234" s="601" t="s">
        <v>2726</v>
      </c>
      <c r="K234" s="602" t="s">
        <v>4086</v>
      </c>
      <c r="L234" s="603" t="s">
        <v>3727</v>
      </c>
      <c r="M234" s="1518" t="s">
        <v>3541</v>
      </c>
      <c r="N234" s="603" t="s">
        <v>2731</v>
      </c>
      <c r="O234" s="754" t="s">
        <v>4087</v>
      </c>
      <c r="P234" s="150" t="s">
        <v>4088</v>
      </c>
      <c r="Q234" s="150"/>
      <c r="R234" s="98"/>
      <c r="S234" s="146"/>
      <c r="T234" s="284" t="s">
        <v>4089</v>
      </c>
      <c r="U234" s="284" t="s">
        <v>3851</v>
      </c>
      <c r="W234" s="25"/>
      <c r="X234" s="25"/>
      <c r="Z234" s="25"/>
      <c r="AA234" s="77"/>
      <c r="AB234" s="77"/>
      <c r="AC234" s="274"/>
      <c r="AD234" s="40"/>
      <c r="AE234" s="77"/>
      <c r="AF234" s="77"/>
      <c r="AG234" s="77"/>
      <c r="AH234" s="77"/>
      <c r="AI234" s="77"/>
      <c r="AJ234" s="77"/>
      <c r="AK234" s="77"/>
    </row>
    <row r="235" spans="2:37" ht="10.5" customHeight="1">
      <c r="B235" s="146"/>
      <c r="C235" s="212" t="s">
        <v>4090</v>
      </c>
      <c r="D235" s="247"/>
      <c r="E235" s="146"/>
      <c r="F235" s="300"/>
      <c r="G235" s="605" t="s">
        <v>4091</v>
      </c>
      <c r="H235" s="600" t="s">
        <v>770</v>
      </c>
      <c r="I235" s="601" t="s">
        <v>3960</v>
      </c>
      <c r="J235" s="601" t="s">
        <v>3544</v>
      </c>
      <c r="K235" s="602" t="s">
        <v>4092</v>
      </c>
      <c r="L235" s="603" t="s">
        <v>3706</v>
      </c>
      <c r="M235" s="1518" t="s">
        <v>1747</v>
      </c>
      <c r="N235" s="603" t="s">
        <v>2735</v>
      </c>
      <c r="O235" s="754" t="s">
        <v>4093</v>
      </c>
      <c r="P235" s="150" t="s">
        <v>4094</v>
      </c>
      <c r="Q235" s="150"/>
      <c r="R235" s="98"/>
      <c r="S235" s="146"/>
      <c r="T235" s="284" t="s">
        <v>4095</v>
      </c>
      <c r="U235" s="284" t="s">
        <v>4096</v>
      </c>
      <c r="W235" s="25"/>
      <c r="X235" s="25"/>
      <c r="Z235" s="25"/>
      <c r="AA235" s="77"/>
      <c r="AB235" s="77"/>
      <c r="AC235" s="274"/>
      <c r="AD235" s="40"/>
      <c r="AE235" s="77"/>
      <c r="AF235" s="77"/>
      <c r="AG235" s="77"/>
      <c r="AH235" s="77"/>
      <c r="AI235" s="77"/>
      <c r="AJ235" s="77"/>
      <c r="AK235" s="77"/>
    </row>
    <row r="236" spans="2:37" ht="10.5" customHeight="1">
      <c r="B236" s="146"/>
      <c r="C236" s="212" t="s">
        <v>4097</v>
      </c>
      <c r="D236" s="247"/>
      <c r="E236" s="146"/>
      <c r="F236" s="300"/>
      <c r="G236" s="600" t="s">
        <v>4098</v>
      </c>
      <c r="H236" s="600" t="s">
        <v>770</v>
      </c>
      <c r="I236" s="604" t="s">
        <v>3966</v>
      </c>
      <c r="J236" s="604" t="s">
        <v>2726</v>
      </c>
      <c r="K236" s="602" t="s">
        <v>4099</v>
      </c>
      <c r="L236" s="603" t="s">
        <v>3727</v>
      </c>
      <c r="M236" s="1518" t="s">
        <v>1747</v>
      </c>
      <c r="N236" s="603" t="s">
        <v>2731</v>
      </c>
      <c r="O236" s="754" t="s">
        <v>4100</v>
      </c>
      <c r="P236" s="150" t="s">
        <v>4101</v>
      </c>
      <c r="Q236" s="150"/>
      <c r="R236" s="98"/>
      <c r="S236" s="146"/>
      <c r="T236" s="284" t="s">
        <v>4102</v>
      </c>
      <c r="U236" s="284" t="s">
        <v>4098</v>
      </c>
      <c r="W236" s="25"/>
      <c r="X236" s="25"/>
      <c r="Z236" s="25"/>
      <c r="AA236" s="77"/>
      <c r="AB236" s="77"/>
      <c r="AC236" s="274"/>
      <c r="AD236" s="40"/>
      <c r="AE236" s="77"/>
      <c r="AF236" s="77"/>
      <c r="AG236" s="77"/>
      <c r="AH236" s="77"/>
      <c r="AI236" s="77"/>
      <c r="AJ236" s="77"/>
      <c r="AK236" s="77"/>
    </row>
    <row r="237" spans="2:37" ht="10.5" customHeight="1">
      <c r="B237" s="146"/>
      <c r="C237" s="212" t="s">
        <v>4103</v>
      </c>
      <c r="D237" s="247"/>
      <c r="E237" s="146"/>
      <c r="F237" s="300"/>
      <c r="G237" s="600" t="s">
        <v>4104</v>
      </c>
      <c r="H237" s="600" t="s">
        <v>3703</v>
      </c>
      <c r="I237" s="604" t="s">
        <v>2734</v>
      </c>
      <c r="J237" s="604" t="s">
        <v>2726</v>
      </c>
      <c r="K237" s="602" t="s">
        <v>3858</v>
      </c>
      <c r="L237" s="603" t="s">
        <v>3727</v>
      </c>
      <c r="M237" s="1518" t="s">
        <v>1747</v>
      </c>
      <c r="N237" s="603" t="s">
        <v>2734</v>
      </c>
      <c r="O237" s="754" t="s">
        <v>4105</v>
      </c>
      <c r="P237" s="150" t="s">
        <v>4106</v>
      </c>
      <c r="Q237" s="150"/>
      <c r="R237" s="98"/>
      <c r="S237" s="146"/>
      <c r="T237" s="284" t="s">
        <v>4107</v>
      </c>
      <c r="U237" s="284" t="s">
        <v>3888</v>
      </c>
      <c r="W237" s="25"/>
      <c r="X237" s="25"/>
      <c r="Z237" s="25"/>
      <c r="AA237" s="77"/>
      <c r="AB237" s="77"/>
      <c r="AC237" s="274"/>
      <c r="AD237" s="40"/>
      <c r="AE237" s="77"/>
      <c r="AF237" s="77"/>
      <c r="AG237" s="77"/>
      <c r="AH237" s="77"/>
      <c r="AI237" s="77"/>
      <c r="AJ237" s="77"/>
      <c r="AK237" s="77"/>
    </row>
    <row r="238" spans="2:37" ht="10.5" customHeight="1">
      <c r="B238" s="146"/>
      <c r="C238" s="211" t="s">
        <v>4108</v>
      </c>
      <c r="D238" s="247"/>
      <c r="E238" s="146"/>
      <c r="F238" s="300"/>
      <c r="G238" s="600" t="s">
        <v>169</v>
      </c>
      <c r="H238" s="600" t="s">
        <v>770</v>
      </c>
      <c r="I238" s="601" t="s">
        <v>3970</v>
      </c>
      <c r="J238" s="601" t="s">
        <v>3544</v>
      </c>
      <c r="K238" s="602" t="s">
        <v>4109</v>
      </c>
      <c r="L238" s="603" t="s">
        <v>3706</v>
      </c>
      <c r="M238" s="1518" t="s">
        <v>1747</v>
      </c>
      <c r="N238" s="603" t="s">
        <v>2730</v>
      </c>
      <c r="O238" s="754" t="s">
        <v>4110</v>
      </c>
      <c r="P238" s="150" t="s">
        <v>4111</v>
      </c>
      <c r="Q238" s="150"/>
      <c r="R238" s="98"/>
      <c r="S238" s="146"/>
      <c r="T238" s="284" t="s">
        <v>4112</v>
      </c>
      <c r="U238" s="284" t="s">
        <v>4113</v>
      </c>
      <c r="W238" s="25"/>
      <c r="X238" s="25"/>
      <c r="Z238" s="25"/>
      <c r="AA238" s="77"/>
      <c r="AB238" s="77"/>
      <c r="AC238" s="274"/>
      <c r="AD238" s="40"/>
      <c r="AE238" s="77"/>
      <c r="AF238" s="77"/>
      <c r="AG238" s="77"/>
      <c r="AH238" s="77"/>
      <c r="AI238" s="77"/>
      <c r="AJ238" s="77"/>
      <c r="AK238" s="77"/>
    </row>
    <row r="239" spans="2:37" ht="10.5" customHeight="1">
      <c r="B239" s="146"/>
      <c r="C239" s="212" t="s">
        <v>4114</v>
      </c>
      <c r="D239" s="247"/>
      <c r="E239" s="146"/>
      <c r="F239" s="300"/>
      <c r="G239" s="600" t="s">
        <v>4115</v>
      </c>
      <c r="H239" s="600" t="s">
        <v>3703</v>
      </c>
      <c r="I239" s="604" t="s">
        <v>3732</v>
      </c>
      <c r="J239" s="604" t="s">
        <v>2726</v>
      </c>
      <c r="K239" s="602" t="s">
        <v>3747</v>
      </c>
      <c r="L239" s="603" t="s">
        <v>3727</v>
      </c>
      <c r="M239" s="1518" t="s">
        <v>3541</v>
      </c>
      <c r="N239" s="603" t="s">
        <v>2731</v>
      </c>
      <c r="O239" s="754" t="s">
        <v>4116</v>
      </c>
      <c r="P239" s="150" t="s">
        <v>4117</v>
      </c>
      <c r="Q239" s="150"/>
      <c r="R239" s="98"/>
      <c r="S239" s="146"/>
      <c r="T239" s="284" t="s">
        <v>4118</v>
      </c>
      <c r="U239" s="284" t="s">
        <v>98</v>
      </c>
      <c r="W239" s="25"/>
      <c r="X239" s="25"/>
      <c r="Z239" s="25"/>
      <c r="AA239" s="77"/>
      <c r="AB239" s="77"/>
      <c r="AC239" s="274"/>
      <c r="AD239" s="40"/>
      <c r="AE239" s="77"/>
      <c r="AF239" s="77"/>
      <c r="AG239" s="77"/>
      <c r="AH239" s="77"/>
      <c r="AI239" s="77"/>
      <c r="AJ239" s="77"/>
      <c r="AK239" s="77"/>
    </row>
    <row r="240" spans="2:37" ht="10.5" customHeight="1">
      <c r="B240" s="146"/>
      <c r="C240" s="212" t="s">
        <v>4119</v>
      </c>
      <c r="D240" s="247"/>
      <c r="E240" s="146"/>
      <c r="F240" s="300"/>
      <c r="G240" s="600" t="s">
        <v>101</v>
      </c>
      <c r="H240" s="600" t="s">
        <v>770</v>
      </c>
      <c r="I240" s="604" t="s">
        <v>3732</v>
      </c>
      <c r="J240" s="604" t="s">
        <v>2726</v>
      </c>
      <c r="K240" s="602" t="s">
        <v>3747</v>
      </c>
      <c r="L240" s="603" t="s">
        <v>3727</v>
      </c>
      <c r="M240" s="1518" t="s">
        <v>3541</v>
      </c>
      <c r="N240" s="603" t="s">
        <v>2731</v>
      </c>
      <c r="O240" s="754" t="s">
        <v>4120</v>
      </c>
      <c r="P240" s="150" t="s">
        <v>4121</v>
      </c>
      <c r="Q240" s="150"/>
      <c r="R240" s="98"/>
      <c r="S240" s="146"/>
      <c r="T240" s="284" t="s">
        <v>4122</v>
      </c>
      <c r="U240" s="284" t="s">
        <v>109</v>
      </c>
      <c r="W240" s="25"/>
      <c r="X240" s="25"/>
      <c r="Z240" s="25"/>
      <c r="AA240" s="77"/>
      <c r="AB240" s="77"/>
      <c r="AC240" s="274"/>
      <c r="AD240" s="40"/>
      <c r="AE240" s="77"/>
      <c r="AF240" s="77"/>
      <c r="AG240" s="77"/>
      <c r="AH240" s="77"/>
      <c r="AI240" s="77"/>
      <c r="AJ240" s="77"/>
      <c r="AK240" s="77"/>
    </row>
    <row r="241" spans="2:37" ht="10.5" customHeight="1">
      <c r="B241" s="146"/>
      <c r="C241" s="212" t="s">
        <v>4123</v>
      </c>
      <c r="D241" s="247"/>
      <c r="E241" s="146"/>
      <c r="F241" s="300"/>
      <c r="G241" s="600" t="s">
        <v>171</v>
      </c>
      <c r="H241" s="600" t="s">
        <v>3703</v>
      </c>
      <c r="I241" s="604" t="s">
        <v>2216</v>
      </c>
      <c r="J241" s="604" t="s">
        <v>2726</v>
      </c>
      <c r="K241" s="602" t="s">
        <v>4124</v>
      </c>
      <c r="L241" s="603" t="s">
        <v>3727</v>
      </c>
      <c r="M241" s="1518" t="s">
        <v>3541</v>
      </c>
      <c r="N241" s="603" t="s">
        <v>2735</v>
      </c>
      <c r="O241" s="754" t="s">
        <v>4125</v>
      </c>
      <c r="P241" s="150" t="s">
        <v>4126</v>
      </c>
      <c r="Q241" s="150"/>
      <c r="R241" s="98"/>
      <c r="S241" s="146"/>
      <c r="T241" s="284" t="s">
        <v>3788</v>
      </c>
      <c r="U241" s="284" t="s">
        <v>4018</v>
      </c>
      <c r="W241" s="25"/>
      <c r="X241" s="25"/>
      <c r="Z241" s="25"/>
      <c r="AA241" s="77"/>
      <c r="AB241" s="77"/>
      <c r="AC241" s="274"/>
      <c r="AD241" s="40"/>
      <c r="AE241" s="77"/>
      <c r="AF241" s="77"/>
      <c r="AG241" s="77"/>
      <c r="AH241" s="77"/>
      <c r="AI241" s="77"/>
      <c r="AJ241" s="77"/>
      <c r="AK241" s="77"/>
    </row>
    <row r="242" spans="2:37" ht="10.5" customHeight="1">
      <c r="B242" s="146"/>
      <c r="C242" s="211" t="s">
        <v>4127</v>
      </c>
      <c r="D242" s="247"/>
      <c r="E242" s="146"/>
      <c r="F242" s="300"/>
      <c r="G242" s="600" t="s">
        <v>4128</v>
      </c>
      <c r="H242" s="600" t="s">
        <v>3703</v>
      </c>
      <c r="I242" s="601" t="s">
        <v>3981</v>
      </c>
      <c r="J242" s="601" t="s">
        <v>3544</v>
      </c>
      <c r="K242" s="602" t="s">
        <v>4129</v>
      </c>
      <c r="L242" s="603" t="s">
        <v>3706</v>
      </c>
      <c r="M242" s="1518" t="s">
        <v>1747</v>
      </c>
      <c r="N242" s="603" t="s">
        <v>2128</v>
      </c>
      <c r="O242" s="754" t="s">
        <v>4130</v>
      </c>
      <c r="P242" s="150" t="s">
        <v>4131</v>
      </c>
      <c r="Q242" s="150"/>
      <c r="R242" s="98"/>
      <c r="S242" s="146"/>
      <c r="T242" s="284" t="s">
        <v>4132</v>
      </c>
      <c r="U242" s="284" t="s">
        <v>3816</v>
      </c>
      <c r="W242" s="25"/>
      <c r="X242" s="25"/>
      <c r="Z242" s="25"/>
      <c r="AA242" s="77"/>
      <c r="AB242" s="77"/>
      <c r="AC242" s="274"/>
      <c r="AD242" s="40"/>
      <c r="AE242" s="77"/>
      <c r="AF242" s="77"/>
      <c r="AG242" s="77"/>
      <c r="AH242" s="77"/>
      <c r="AI242" s="77"/>
      <c r="AJ242" s="77"/>
      <c r="AK242" s="77"/>
    </row>
    <row r="243" spans="2:37" ht="10.5" customHeight="1">
      <c r="B243" s="146"/>
      <c r="C243" s="211" t="s">
        <v>2203</v>
      </c>
      <c r="D243" s="247"/>
      <c r="E243" s="146"/>
      <c r="F243" s="300"/>
      <c r="G243" s="600" t="s">
        <v>3851</v>
      </c>
      <c r="H243" s="600" t="s">
        <v>770</v>
      </c>
      <c r="I243" s="601" t="s">
        <v>3986</v>
      </c>
      <c r="J243" s="601" t="s">
        <v>3544</v>
      </c>
      <c r="K243" s="602" t="s">
        <v>4133</v>
      </c>
      <c r="L243" s="603" t="s">
        <v>3706</v>
      </c>
      <c r="M243" s="1518" t="s">
        <v>1747</v>
      </c>
      <c r="N243" s="603" t="s">
        <v>2731</v>
      </c>
      <c r="O243" s="754" t="s">
        <v>4134</v>
      </c>
      <c r="P243" s="150" t="s">
        <v>4135</v>
      </c>
      <c r="Q243" s="150"/>
      <c r="R243" s="98"/>
      <c r="S243" s="146"/>
      <c r="T243" s="284" t="s">
        <v>3780</v>
      </c>
      <c r="U243" s="284" t="s">
        <v>113</v>
      </c>
      <c r="W243" s="25"/>
      <c r="X243" s="25"/>
      <c r="Z243" s="25"/>
      <c r="AA243" s="77"/>
      <c r="AB243" s="77"/>
      <c r="AC243" s="274"/>
      <c r="AD243" s="40"/>
      <c r="AE243" s="77"/>
      <c r="AF243" s="77"/>
      <c r="AG243" s="77"/>
      <c r="AH243" s="77"/>
      <c r="AI243" s="77"/>
      <c r="AJ243" s="77"/>
      <c r="AK243" s="77"/>
    </row>
    <row r="244" spans="2:37" ht="10.5" customHeight="1">
      <c r="B244" s="146"/>
      <c r="C244" s="212" t="s">
        <v>2736</v>
      </c>
      <c r="D244" s="247"/>
      <c r="E244" s="146"/>
      <c r="F244" s="300"/>
      <c r="G244" s="600" t="s">
        <v>4136</v>
      </c>
      <c r="H244" s="600" t="s">
        <v>770</v>
      </c>
      <c r="I244" s="604" t="s">
        <v>3732</v>
      </c>
      <c r="J244" s="604" t="s">
        <v>2726</v>
      </c>
      <c r="K244" s="602" t="s">
        <v>3747</v>
      </c>
      <c r="L244" s="603" t="s">
        <v>3727</v>
      </c>
      <c r="M244" s="1518" t="s">
        <v>3541</v>
      </c>
      <c r="N244" s="603" t="s">
        <v>2731</v>
      </c>
      <c r="O244" s="754" t="s">
        <v>4137</v>
      </c>
      <c r="P244" s="150" t="s">
        <v>4138</v>
      </c>
      <c r="Q244" s="150"/>
      <c r="R244" s="98"/>
      <c r="S244" s="146"/>
      <c r="T244" s="284" t="s">
        <v>4139</v>
      </c>
      <c r="U244" s="284" t="s">
        <v>4098</v>
      </c>
      <c r="W244" s="25"/>
      <c r="X244" s="25"/>
      <c r="Z244" s="25"/>
      <c r="AA244" s="77"/>
      <c r="AB244" s="77"/>
      <c r="AC244" s="274"/>
      <c r="AD244" s="40"/>
      <c r="AE244" s="77"/>
      <c r="AF244" s="77"/>
      <c r="AG244" s="77"/>
      <c r="AH244" s="77"/>
      <c r="AI244" s="77"/>
      <c r="AJ244" s="77"/>
      <c r="AK244" s="77"/>
    </row>
    <row r="245" spans="2:37" ht="10.5" customHeight="1">
      <c r="B245" s="146"/>
      <c r="C245" s="212" t="s">
        <v>4140</v>
      </c>
      <c r="D245" s="247"/>
      <c r="E245" s="146"/>
      <c r="F245" s="300"/>
      <c r="G245" s="600" t="s">
        <v>4141</v>
      </c>
      <c r="H245" s="600" t="s">
        <v>3703</v>
      </c>
      <c r="I245" s="601" t="s">
        <v>3992</v>
      </c>
      <c r="J245" s="601" t="s">
        <v>3544</v>
      </c>
      <c r="K245" s="602" t="s">
        <v>4142</v>
      </c>
      <c r="L245" s="603" t="s">
        <v>3706</v>
      </c>
      <c r="M245" s="1518" t="s">
        <v>1747</v>
      </c>
      <c r="N245" s="603" t="s">
        <v>2214</v>
      </c>
      <c r="O245" s="754" t="s">
        <v>4143</v>
      </c>
      <c r="P245" s="150" t="s">
        <v>4144</v>
      </c>
      <c r="Q245" s="150"/>
      <c r="R245" s="98"/>
      <c r="S245" s="146"/>
      <c r="T245" s="284" t="s">
        <v>4145</v>
      </c>
      <c r="U245" s="284" t="s">
        <v>4068</v>
      </c>
      <c r="W245" s="25"/>
      <c r="X245" s="25"/>
      <c r="Z245" s="25"/>
      <c r="AA245" s="77"/>
      <c r="AB245" s="77"/>
      <c r="AC245" s="274"/>
      <c r="AD245" s="40"/>
      <c r="AE245" s="77"/>
      <c r="AF245" s="77"/>
      <c r="AG245" s="77"/>
      <c r="AH245" s="77"/>
      <c r="AI245" s="77"/>
      <c r="AJ245" s="77"/>
      <c r="AK245" s="77"/>
    </row>
    <row r="246" spans="2:37" ht="10.5" customHeight="1">
      <c r="B246" s="146"/>
      <c r="C246" s="212" t="s">
        <v>4146</v>
      </c>
      <c r="D246" s="247"/>
      <c r="E246" s="146"/>
      <c r="F246" s="300"/>
      <c r="G246" s="600" t="s">
        <v>3914</v>
      </c>
      <c r="H246" s="600" t="s">
        <v>3703</v>
      </c>
      <c r="I246" s="601" t="s">
        <v>3999</v>
      </c>
      <c r="J246" s="601" t="s">
        <v>3544</v>
      </c>
      <c r="K246" s="602" t="s">
        <v>4147</v>
      </c>
      <c r="L246" s="603" t="s">
        <v>3706</v>
      </c>
      <c r="M246" s="1518" t="s">
        <v>1747</v>
      </c>
      <c r="N246" s="603" t="s">
        <v>2732</v>
      </c>
      <c r="O246" s="754" t="s">
        <v>4148</v>
      </c>
      <c r="P246" s="150" t="s">
        <v>4149</v>
      </c>
      <c r="Q246" s="150"/>
      <c r="R246" s="98"/>
      <c r="S246" s="146"/>
      <c r="T246" s="284" t="s">
        <v>4150</v>
      </c>
      <c r="U246" s="284" t="s">
        <v>4151</v>
      </c>
      <c r="W246" s="25"/>
      <c r="X246" s="25"/>
      <c r="Z246" s="25"/>
      <c r="AA246" s="77"/>
      <c r="AB246" s="77"/>
      <c r="AC246" s="274"/>
      <c r="AD246" s="40"/>
      <c r="AE246" s="77"/>
      <c r="AF246" s="77"/>
      <c r="AG246" s="77"/>
      <c r="AH246" s="77"/>
      <c r="AI246" s="77"/>
      <c r="AJ246" s="77"/>
      <c r="AK246" s="77"/>
    </row>
    <row r="247" spans="2:37" ht="10.5" customHeight="1">
      <c r="B247" s="146"/>
      <c r="C247" s="212" t="s">
        <v>4152</v>
      </c>
      <c r="D247" s="247"/>
      <c r="E247" s="146"/>
      <c r="F247" s="300"/>
      <c r="G247" s="600" t="s">
        <v>4153</v>
      </c>
      <c r="H247" s="600" t="s">
        <v>3703</v>
      </c>
      <c r="I247" s="601" t="s">
        <v>4006</v>
      </c>
      <c r="J247" s="601" t="s">
        <v>3544</v>
      </c>
      <c r="K247" s="602" t="s">
        <v>4154</v>
      </c>
      <c r="L247" s="603" t="s">
        <v>3706</v>
      </c>
      <c r="M247" s="1518" t="s">
        <v>1747</v>
      </c>
      <c r="N247" s="603" t="s">
        <v>2732</v>
      </c>
      <c r="O247" s="754" t="s">
        <v>4155</v>
      </c>
      <c r="P247" s="150" t="s">
        <v>4156</v>
      </c>
      <c r="Q247" s="150"/>
      <c r="R247" s="98"/>
      <c r="S247" s="146"/>
      <c r="T247" s="284" t="s">
        <v>4157</v>
      </c>
      <c r="U247" s="284" t="s">
        <v>3974</v>
      </c>
      <c r="W247" s="25"/>
      <c r="X247" s="25"/>
      <c r="Z247" s="25"/>
      <c r="AA247" s="77"/>
      <c r="AB247" s="77"/>
      <c r="AC247" s="274"/>
      <c r="AD247" s="40"/>
      <c r="AE247" s="77"/>
      <c r="AF247" s="77"/>
      <c r="AG247" s="77"/>
      <c r="AH247" s="77"/>
      <c r="AI247" s="77"/>
      <c r="AJ247" s="77"/>
      <c r="AK247" s="77"/>
    </row>
    <row r="248" spans="2:37" ht="10.5" customHeight="1">
      <c r="B248" s="146"/>
      <c r="C248" s="212" t="s">
        <v>4158</v>
      </c>
      <c r="D248" s="247"/>
      <c r="E248" s="146"/>
      <c r="F248" s="300"/>
      <c r="G248" s="600" t="s">
        <v>3746</v>
      </c>
      <c r="H248" s="600" t="s">
        <v>3703</v>
      </c>
      <c r="I248" s="601" t="s">
        <v>4012</v>
      </c>
      <c r="J248" s="601" t="s">
        <v>3544</v>
      </c>
      <c r="K248" s="602" t="s">
        <v>4159</v>
      </c>
      <c r="L248" s="603" t="s">
        <v>3706</v>
      </c>
      <c r="M248" s="1518" t="s">
        <v>1747</v>
      </c>
      <c r="N248" s="603" t="s">
        <v>2735</v>
      </c>
      <c r="O248" s="754" t="s">
        <v>4160</v>
      </c>
      <c r="P248" s="150" t="s">
        <v>4161</v>
      </c>
      <c r="Q248" s="150"/>
      <c r="R248" s="98"/>
      <c r="S248" s="146"/>
      <c r="T248" s="284" t="s">
        <v>4162</v>
      </c>
      <c r="U248" s="284" t="s">
        <v>4163</v>
      </c>
      <c r="W248" s="25"/>
      <c r="X248" s="25"/>
      <c r="Z248" s="25"/>
      <c r="AA248" s="77"/>
      <c r="AB248" s="77"/>
      <c r="AC248" s="274"/>
      <c r="AD248" s="40"/>
      <c r="AE248" s="77"/>
      <c r="AF248" s="77"/>
      <c r="AG248" s="77"/>
      <c r="AH248" s="77"/>
      <c r="AI248" s="77"/>
      <c r="AJ248" s="77"/>
      <c r="AK248" s="77"/>
    </row>
    <row r="249" spans="2:37" ht="10.5" customHeight="1">
      <c r="B249" s="146"/>
      <c r="C249" s="211" t="s">
        <v>4164</v>
      </c>
      <c r="D249" s="247"/>
      <c r="E249" s="146"/>
      <c r="F249" s="300"/>
      <c r="G249" s="600" t="s">
        <v>4165</v>
      </c>
      <c r="H249" s="600" t="s">
        <v>3703</v>
      </c>
      <c r="I249" s="604" t="s">
        <v>2735</v>
      </c>
      <c r="J249" s="604" t="s">
        <v>2726</v>
      </c>
      <c r="K249" s="602" t="s">
        <v>3769</v>
      </c>
      <c r="L249" s="603" t="s">
        <v>3727</v>
      </c>
      <c r="M249" s="1518" t="s">
        <v>1747</v>
      </c>
      <c r="N249" s="603" t="s">
        <v>2735</v>
      </c>
      <c r="O249" s="754" t="s">
        <v>4166</v>
      </c>
      <c r="P249" s="150" t="s">
        <v>4167</v>
      </c>
      <c r="Q249" s="150"/>
      <c r="R249" s="98"/>
      <c r="S249" s="146"/>
      <c r="T249" s="284" t="s">
        <v>4168</v>
      </c>
      <c r="U249" s="284" t="s">
        <v>3961</v>
      </c>
      <c r="W249" s="25"/>
      <c r="X249" s="25"/>
      <c r="Z249" s="25"/>
      <c r="AA249" s="77"/>
      <c r="AB249" s="77"/>
      <c r="AC249" s="274"/>
      <c r="AD249" s="40"/>
      <c r="AE249" s="77"/>
      <c r="AF249" s="77"/>
      <c r="AG249" s="77"/>
      <c r="AH249" s="77"/>
      <c r="AI249" s="77"/>
      <c r="AJ249" s="77"/>
      <c r="AK249" s="77"/>
    </row>
    <row r="250" spans="2:37" ht="10.5" customHeight="1">
      <c r="B250" s="146"/>
      <c r="C250" s="211" t="s">
        <v>4169</v>
      </c>
      <c r="D250" s="247"/>
      <c r="E250" s="146"/>
      <c r="F250" s="300"/>
      <c r="G250" s="600" t="s">
        <v>3773</v>
      </c>
      <c r="H250" s="600" t="s">
        <v>770</v>
      </c>
      <c r="I250" s="604" t="s">
        <v>4017</v>
      </c>
      <c r="J250" s="604" t="s">
        <v>2726</v>
      </c>
      <c r="K250" s="602" t="s">
        <v>4170</v>
      </c>
      <c r="L250" s="603" t="s">
        <v>3727</v>
      </c>
      <c r="M250" s="1518" t="s">
        <v>1747</v>
      </c>
      <c r="N250" s="603" t="s">
        <v>2731</v>
      </c>
      <c r="O250" s="754" t="s">
        <v>4171</v>
      </c>
      <c r="P250" s="150" t="s">
        <v>4172</v>
      </c>
      <c r="Q250" s="150"/>
      <c r="R250" s="98"/>
      <c r="S250" s="146"/>
      <c r="T250" s="284" t="s">
        <v>2143</v>
      </c>
      <c r="U250" s="284" t="s">
        <v>4173</v>
      </c>
      <c r="W250" s="25"/>
      <c r="X250" s="25"/>
      <c r="Z250" s="25"/>
      <c r="AA250" s="77"/>
      <c r="AB250" s="77"/>
      <c r="AC250" s="274"/>
      <c r="AD250" s="40"/>
      <c r="AE250" s="77"/>
      <c r="AF250" s="77"/>
      <c r="AG250" s="77"/>
      <c r="AH250" s="77"/>
      <c r="AI250" s="77"/>
      <c r="AJ250" s="77"/>
      <c r="AK250" s="77"/>
    </row>
    <row r="251" spans="2:37" ht="10.5" customHeight="1">
      <c r="B251" s="146"/>
      <c r="C251" s="212" t="s">
        <v>4174</v>
      </c>
      <c r="D251" s="247"/>
      <c r="E251" s="146"/>
      <c r="F251" s="300"/>
      <c r="G251" s="600" t="s">
        <v>4175</v>
      </c>
      <c r="H251" s="600" t="s">
        <v>3703</v>
      </c>
      <c r="I251" s="601" t="s">
        <v>2214</v>
      </c>
      <c r="J251" s="601" t="s">
        <v>2726</v>
      </c>
      <c r="K251" s="602" t="s">
        <v>3789</v>
      </c>
      <c r="L251" s="603" t="s">
        <v>3727</v>
      </c>
      <c r="M251" s="1518" t="s">
        <v>1747</v>
      </c>
      <c r="N251" s="603" t="s">
        <v>2214</v>
      </c>
      <c r="O251" s="754" t="s">
        <v>4176</v>
      </c>
      <c r="P251" s="150" t="s">
        <v>4177</v>
      </c>
      <c r="Q251" s="150"/>
      <c r="R251" s="98"/>
      <c r="S251" s="146"/>
      <c r="T251" s="284" t="s">
        <v>4178</v>
      </c>
      <c r="U251" s="284" t="s">
        <v>4179</v>
      </c>
      <c r="W251" s="25"/>
      <c r="X251" s="25"/>
      <c r="Z251" s="25"/>
      <c r="AA251" s="77"/>
      <c r="AB251" s="77"/>
      <c r="AC251" s="274"/>
      <c r="AD251" s="40"/>
      <c r="AE251" s="77"/>
      <c r="AF251" s="77"/>
      <c r="AG251" s="77"/>
      <c r="AH251" s="77"/>
      <c r="AI251" s="77"/>
      <c r="AJ251" s="77"/>
      <c r="AK251" s="77"/>
    </row>
    <row r="252" spans="2:37" ht="10.5" customHeight="1">
      <c r="B252" s="146"/>
      <c r="C252" s="212" t="s">
        <v>4180</v>
      </c>
      <c r="D252" s="247"/>
      <c r="E252" s="146"/>
      <c r="F252" s="300"/>
      <c r="G252" s="600" t="s">
        <v>4179</v>
      </c>
      <c r="H252" s="600" t="s">
        <v>3703</v>
      </c>
      <c r="I252" s="601" t="s">
        <v>4023</v>
      </c>
      <c r="J252" s="601" t="s">
        <v>3544</v>
      </c>
      <c r="K252" s="602" t="s">
        <v>4181</v>
      </c>
      <c r="L252" s="603" t="s">
        <v>3706</v>
      </c>
      <c r="M252" s="1518" t="s">
        <v>1747</v>
      </c>
      <c r="N252" s="603" t="s">
        <v>2735</v>
      </c>
      <c r="O252" s="754" t="s">
        <v>4182</v>
      </c>
      <c r="P252" s="150" t="s">
        <v>4183</v>
      </c>
      <c r="Q252" s="150"/>
      <c r="R252" s="98"/>
      <c r="S252" s="146"/>
      <c r="T252" s="284" t="s">
        <v>4184</v>
      </c>
      <c r="U252" s="284" t="s">
        <v>4063</v>
      </c>
      <c r="W252" s="25"/>
      <c r="X252" s="25"/>
      <c r="Z252" s="25"/>
      <c r="AA252" s="77"/>
      <c r="AB252" s="77"/>
      <c r="AC252" s="274"/>
      <c r="AD252" s="40"/>
      <c r="AE252" s="77"/>
      <c r="AF252" s="77"/>
      <c r="AG252" s="77"/>
      <c r="AH252" s="77"/>
      <c r="AI252" s="77"/>
      <c r="AJ252" s="77"/>
      <c r="AK252" s="77"/>
    </row>
    <row r="253" spans="2:37" ht="10.5" customHeight="1">
      <c r="B253" s="146"/>
      <c r="C253" s="212" t="s">
        <v>4185</v>
      </c>
      <c r="D253" s="247"/>
      <c r="E253" s="146"/>
      <c r="F253" s="300"/>
      <c r="G253" s="600" t="s">
        <v>4186</v>
      </c>
      <c r="H253" s="600" t="s">
        <v>3703</v>
      </c>
      <c r="I253" s="604" t="s">
        <v>2128</v>
      </c>
      <c r="J253" s="604" t="s">
        <v>2726</v>
      </c>
      <c r="K253" s="602" t="s">
        <v>3967</v>
      </c>
      <c r="L253" s="603" t="s">
        <v>3727</v>
      </c>
      <c r="M253" s="1518" t="s">
        <v>1747</v>
      </c>
      <c r="N253" s="603" t="s">
        <v>2128</v>
      </c>
      <c r="O253" s="754" t="s">
        <v>4187</v>
      </c>
      <c r="P253" s="150" t="s">
        <v>4188</v>
      </c>
      <c r="Q253" s="150"/>
      <c r="R253" s="98"/>
      <c r="S253" s="146"/>
      <c r="T253" s="284" t="s">
        <v>3818</v>
      </c>
      <c r="U253" s="284" t="s">
        <v>4057</v>
      </c>
      <c r="W253" s="25"/>
      <c r="X253" s="25"/>
      <c r="Z253" s="25"/>
      <c r="AA253" s="77"/>
      <c r="AB253" s="77"/>
      <c r="AC253" s="274"/>
      <c r="AD253" s="40"/>
      <c r="AE253" s="77"/>
      <c r="AF253" s="77"/>
      <c r="AG253" s="77"/>
      <c r="AH253" s="77"/>
      <c r="AI253" s="77"/>
      <c r="AJ253" s="77"/>
      <c r="AK253" s="77"/>
    </row>
    <row r="254" spans="2:37" ht="10.5" customHeight="1">
      <c r="B254" s="146"/>
      <c r="C254" s="212" t="s">
        <v>4189</v>
      </c>
      <c r="D254" s="247"/>
      <c r="E254" s="146"/>
      <c r="F254" s="300"/>
      <c r="G254" s="600" t="s">
        <v>126</v>
      </c>
      <c r="H254" s="600" t="s">
        <v>3703</v>
      </c>
      <c r="I254" s="601" t="s">
        <v>4190</v>
      </c>
      <c r="J254" s="601" t="s">
        <v>2726</v>
      </c>
      <c r="K254" s="602" t="s">
        <v>4191</v>
      </c>
      <c r="L254" s="603" t="s">
        <v>3727</v>
      </c>
      <c r="M254" s="1518" t="s">
        <v>3541</v>
      </c>
      <c r="N254" s="603" t="s">
        <v>2736</v>
      </c>
      <c r="O254" s="754" t="s">
        <v>4192</v>
      </c>
      <c r="P254" s="150" t="s">
        <v>4193</v>
      </c>
      <c r="Q254" s="150"/>
      <c r="R254" s="98"/>
      <c r="S254" s="146"/>
      <c r="T254" s="284" t="s">
        <v>4194</v>
      </c>
      <c r="U254" s="284" t="s">
        <v>4063</v>
      </c>
      <c r="W254" s="25"/>
      <c r="X254" s="25"/>
      <c r="Z254" s="25"/>
      <c r="AA254" s="77"/>
      <c r="AB254" s="77"/>
      <c r="AC254" s="274"/>
      <c r="AD254" s="40"/>
      <c r="AE254" s="77"/>
      <c r="AF254" s="77"/>
      <c r="AG254" s="77"/>
      <c r="AH254" s="77"/>
      <c r="AI254" s="77"/>
      <c r="AJ254" s="77"/>
      <c r="AK254" s="77"/>
    </row>
    <row r="255" spans="2:37" ht="10.5" customHeight="1">
      <c r="B255" s="146"/>
      <c r="C255" s="212" t="s">
        <v>4195</v>
      </c>
      <c r="D255" s="247"/>
      <c r="E255" s="146"/>
      <c r="F255" s="300"/>
      <c r="G255" s="600" t="s">
        <v>4196</v>
      </c>
      <c r="H255" s="600" t="s">
        <v>770</v>
      </c>
      <c r="I255" s="601" t="s">
        <v>4028</v>
      </c>
      <c r="J255" s="601" t="s">
        <v>2726</v>
      </c>
      <c r="K255" s="602" t="s">
        <v>4197</v>
      </c>
      <c r="L255" s="603" t="s">
        <v>3727</v>
      </c>
      <c r="M255" s="1518" t="s">
        <v>1747</v>
      </c>
      <c r="N255" s="603" t="s">
        <v>2732</v>
      </c>
      <c r="O255" s="754" t="s">
        <v>4198</v>
      </c>
      <c r="P255" s="150" t="s">
        <v>4199</v>
      </c>
      <c r="Q255" s="150"/>
      <c r="R255" s="98"/>
      <c r="S255" s="146"/>
      <c r="T255" s="284" t="s">
        <v>4200</v>
      </c>
      <c r="U255" s="284" t="s">
        <v>4201</v>
      </c>
      <c r="W255" s="25"/>
      <c r="X255" s="25"/>
      <c r="Z255" s="25"/>
      <c r="AA255" s="77"/>
      <c r="AB255" s="77"/>
      <c r="AC255" s="274"/>
      <c r="AD255" s="40"/>
      <c r="AE255" s="77"/>
      <c r="AF255" s="77"/>
      <c r="AG255" s="77"/>
      <c r="AH255" s="77"/>
      <c r="AI255" s="77"/>
      <c r="AJ255" s="77"/>
      <c r="AK255" s="77"/>
    </row>
    <row r="256" spans="2:37" ht="10.5" customHeight="1">
      <c r="B256" s="146"/>
      <c r="C256" s="212" t="s">
        <v>4202</v>
      </c>
      <c r="D256" s="247"/>
      <c r="E256" s="146"/>
      <c r="F256" s="300"/>
      <c r="G256" s="600" t="s">
        <v>4203</v>
      </c>
      <c r="H256" s="600" t="s">
        <v>3703</v>
      </c>
      <c r="I256" s="601" t="s">
        <v>4033</v>
      </c>
      <c r="J256" s="601" t="s">
        <v>2726</v>
      </c>
      <c r="K256" s="602" t="s">
        <v>4204</v>
      </c>
      <c r="L256" s="603" t="s">
        <v>3727</v>
      </c>
      <c r="M256" s="1518" t="s">
        <v>1747</v>
      </c>
      <c r="N256" s="603" t="s">
        <v>2736</v>
      </c>
      <c r="O256" s="754" t="s">
        <v>4205</v>
      </c>
      <c r="P256" s="150" t="s">
        <v>4206</v>
      </c>
      <c r="Q256" s="150"/>
      <c r="R256" s="98"/>
      <c r="S256" s="146"/>
      <c r="T256" s="284" t="s">
        <v>4207</v>
      </c>
      <c r="U256" s="284" t="s">
        <v>3924</v>
      </c>
      <c r="W256" s="25"/>
      <c r="X256" s="25"/>
      <c r="Z256" s="25"/>
      <c r="AA256" s="77"/>
      <c r="AB256" s="77"/>
      <c r="AC256" s="274"/>
      <c r="AD256" s="40"/>
      <c r="AE256" s="77"/>
      <c r="AF256" s="77"/>
      <c r="AG256" s="77"/>
      <c r="AH256" s="77"/>
      <c r="AI256" s="77"/>
      <c r="AJ256" s="77"/>
      <c r="AK256" s="77"/>
    </row>
    <row r="257" spans="2:37" ht="10.5" customHeight="1">
      <c r="B257" s="146"/>
      <c r="C257" s="212" t="s">
        <v>4208</v>
      </c>
      <c r="D257" s="247"/>
      <c r="E257" s="146"/>
      <c r="F257" s="300"/>
      <c r="G257" s="600" t="s">
        <v>154</v>
      </c>
      <c r="H257" s="600" t="s">
        <v>3703</v>
      </c>
      <c r="I257" s="601" t="s">
        <v>2214</v>
      </c>
      <c r="J257" s="601" t="s">
        <v>2726</v>
      </c>
      <c r="K257" s="602" t="s">
        <v>3789</v>
      </c>
      <c r="L257" s="603" t="s">
        <v>3727</v>
      </c>
      <c r="M257" s="1518" t="s">
        <v>3541</v>
      </c>
      <c r="N257" s="603" t="s">
        <v>2214</v>
      </c>
      <c r="O257" s="754" t="s">
        <v>4209</v>
      </c>
      <c r="P257" s="150" t="s">
        <v>4210</v>
      </c>
      <c r="Q257" s="150"/>
      <c r="R257" s="98"/>
      <c r="S257" s="146"/>
      <c r="T257" s="284" t="s">
        <v>104</v>
      </c>
      <c r="U257" s="284" t="s">
        <v>98</v>
      </c>
      <c r="W257" s="25"/>
      <c r="X257" s="25"/>
      <c r="Z257" s="25"/>
      <c r="AA257" s="77"/>
      <c r="AB257" s="77"/>
      <c r="AC257" s="274"/>
      <c r="AD257" s="40"/>
      <c r="AE257" s="77"/>
      <c r="AF257" s="77"/>
      <c r="AG257" s="77"/>
      <c r="AH257" s="77"/>
      <c r="AI257" s="77"/>
      <c r="AJ257" s="77"/>
      <c r="AK257" s="77"/>
    </row>
    <row r="258" spans="2:37" ht="10.5" customHeight="1">
      <c r="B258" s="146"/>
      <c r="C258" s="211" t="s">
        <v>4211</v>
      </c>
      <c r="D258" s="247"/>
      <c r="E258" s="146"/>
      <c r="F258" s="300"/>
      <c r="G258" s="600" t="s">
        <v>4212</v>
      </c>
      <c r="H258" s="600" t="s">
        <v>770</v>
      </c>
      <c r="I258" s="604" t="s">
        <v>4038</v>
      </c>
      <c r="J258" s="604" t="s">
        <v>3544</v>
      </c>
      <c r="K258" s="602" t="s">
        <v>4213</v>
      </c>
      <c r="L258" s="603" t="s">
        <v>3706</v>
      </c>
      <c r="M258" s="1518" t="s">
        <v>1747</v>
      </c>
      <c r="N258" s="603" t="s">
        <v>2731</v>
      </c>
      <c r="O258" s="754" t="s">
        <v>4214</v>
      </c>
      <c r="P258" s="150" t="s">
        <v>4215</v>
      </c>
      <c r="Q258" s="150"/>
      <c r="R258" s="98"/>
      <c r="S258" s="146"/>
      <c r="T258" s="284" t="s">
        <v>4216</v>
      </c>
      <c r="U258" s="284" t="s">
        <v>4034</v>
      </c>
      <c r="W258" s="25"/>
      <c r="X258" s="25"/>
      <c r="Z258" s="25"/>
      <c r="AA258" s="77"/>
      <c r="AB258" s="77"/>
      <c r="AC258" s="274"/>
      <c r="AD258" s="40"/>
      <c r="AE258" s="77"/>
      <c r="AF258" s="77"/>
      <c r="AG258" s="77"/>
      <c r="AH258" s="77"/>
      <c r="AI258" s="77"/>
      <c r="AJ258" s="77"/>
      <c r="AK258" s="77"/>
    </row>
    <row r="259" spans="2:37" ht="10.5" customHeight="1">
      <c r="B259" s="146"/>
      <c r="C259" s="211" t="s">
        <v>4217</v>
      </c>
      <c r="D259" s="247"/>
      <c r="E259" s="146"/>
      <c r="F259" s="300"/>
      <c r="G259" s="600" t="s">
        <v>2735</v>
      </c>
      <c r="H259" s="600" t="s">
        <v>3703</v>
      </c>
      <c r="I259" s="601" t="s">
        <v>4047</v>
      </c>
      <c r="J259" s="601" t="s">
        <v>3544</v>
      </c>
      <c r="K259" s="602" t="s">
        <v>4218</v>
      </c>
      <c r="L259" s="603" t="s">
        <v>3706</v>
      </c>
      <c r="M259" s="1518" t="s">
        <v>1747</v>
      </c>
      <c r="N259" s="603" t="s">
        <v>2735</v>
      </c>
      <c r="O259" s="754" t="s">
        <v>4219</v>
      </c>
      <c r="P259" s="150" t="s">
        <v>4220</v>
      </c>
      <c r="Q259" s="150"/>
      <c r="R259" s="98"/>
      <c r="S259" s="146"/>
      <c r="T259" s="284" t="s">
        <v>4221</v>
      </c>
      <c r="U259" s="284" t="s">
        <v>4000</v>
      </c>
      <c r="W259" s="25"/>
      <c r="X259" s="25"/>
      <c r="Z259" s="25"/>
      <c r="AA259" s="77"/>
      <c r="AB259" s="77"/>
      <c r="AC259" s="274"/>
      <c r="AD259" s="40"/>
      <c r="AE259" s="77"/>
      <c r="AF259" s="77"/>
      <c r="AG259" s="77"/>
      <c r="AH259" s="77"/>
      <c r="AI259" s="77"/>
      <c r="AJ259" s="77"/>
      <c r="AK259" s="77"/>
    </row>
    <row r="260" spans="2:37" ht="10.5" customHeight="1">
      <c r="B260" s="146"/>
      <c r="C260" s="211" t="s">
        <v>4222</v>
      </c>
      <c r="D260" s="247"/>
      <c r="E260" s="146"/>
      <c r="F260" s="300"/>
      <c r="G260" s="600" t="s">
        <v>2185</v>
      </c>
      <c r="H260" s="600" t="s">
        <v>770</v>
      </c>
      <c r="I260" s="601" t="s">
        <v>3875</v>
      </c>
      <c r="J260" s="601" t="s">
        <v>2726</v>
      </c>
      <c r="K260" s="602" t="s">
        <v>3876</v>
      </c>
      <c r="L260" s="603" t="s">
        <v>3727</v>
      </c>
      <c r="M260" s="1518" t="s">
        <v>1747</v>
      </c>
      <c r="N260" s="603" t="s">
        <v>2730</v>
      </c>
      <c r="O260" s="754" t="s">
        <v>4223</v>
      </c>
      <c r="P260" s="150" t="s">
        <v>4224</v>
      </c>
      <c r="Q260" s="150"/>
      <c r="R260" s="98"/>
      <c r="S260" s="146"/>
      <c r="T260" s="284" t="s">
        <v>4225</v>
      </c>
      <c r="U260" s="284" t="s">
        <v>3869</v>
      </c>
      <c r="W260" s="25"/>
      <c r="X260" s="25"/>
      <c r="Z260" s="25"/>
      <c r="AA260" s="77"/>
      <c r="AB260" s="77"/>
      <c r="AC260" s="274"/>
      <c r="AD260" s="40"/>
      <c r="AE260" s="77"/>
      <c r="AF260" s="77"/>
      <c r="AG260" s="77"/>
      <c r="AH260" s="77"/>
      <c r="AI260" s="77"/>
      <c r="AJ260" s="77"/>
      <c r="AK260" s="77"/>
    </row>
    <row r="261" spans="2:37" ht="10.5" customHeight="1">
      <c r="B261" s="146"/>
      <c r="C261" s="211" t="s">
        <v>4226</v>
      </c>
      <c r="D261" s="247"/>
      <c r="E261" s="146"/>
      <c r="F261" s="300"/>
      <c r="G261" s="600" t="s">
        <v>4151</v>
      </c>
      <c r="H261" s="600" t="s">
        <v>3703</v>
      </c>
      <c r="I261" s="604" t="s">
        <v>2734</v>
      </c>
      <c r="J261" s="604" t="s">
        <v>2726</v>
      </c>
      <c r="K261" s="602" t="s">
        <v>3858</v>
      </c>
      <c r="L261" s="603" t="s">
        <v>3727</v>
      </c>
      <c r="M261" s="1518" t="s">
        <v>1747</v>
      </c>
      <c r="N261" s="603" t="s">
        <v>2734</v>
      </c>
      <c r="O261" s="754" t="s">
        <v>4227</v>
      </c>
      <c r="P261" s="150" t="s">
        <v>4228</v>
      </c>
      <c r="Q261" s="150"/>
      <c r="R261" s="98"/>
      <c r="S261" s="146"/>
      <c r="T261" s="284" t="s">
        <v>4229</v>
      </c>
      <c r="U261" s="284" t="s">
        <v>173</v>
      </c>
      <c r="W261" s="25"/>
      <c r="X261" s="25"/>
      <c r="Z261" s="25"/>
      <c r="AA261" s="77"/>
      <c r="AB261" s="77"/>
      <c r="AC261" s="274"/>
      <c r="AD261" s="40"/>
      <c r="AE261" s="77"/>
      <c r="AF261" s="77"/>
      <c r="AG261" s="77"/>
      <c r="AH261" s="77"/>
      <c r="AI261" s="77"/>
      <c r="AJ261" s="77"/>
      <c r="AK261" s="77"/>
    </row>
    <row r="262" spans="2:37" ht="10.5" customHeight="1">
      <c r="B262" s="146"/>
      <c r="C262" s="211" t="s">
        <v>4230</v>
      </c>
      <c r="D262" s="247"/>
      <c r="E262" s="146"/>
      <c r="F262" s="300"/>
      <c r="G262" s="600" t="s">
        <v>4231</v>
      </c>
      <c r="H262" s="600" t="s">
        <v>770</v>
      </c>
      <c r="I262" s="604" t="s">
        <v>3739</v>
      </c>
      <c r="J262" s="604" t="s">
        <v>2726</v>
      </c>
      <c r="K262" s="602" t="s">
        <v>3806</v>
      </c>
      <c r="L262" s="603" t="s">
        <v>3727</v>
      </c>
      <c r="M262" s="1518" t="s">
        <v>1747</v>
      </c>
      <c r="N262" s="603" t="s">
        <v>2732</v>
      </c>
      <c r="O262" s="754" t="s">
        <v>4232</v>
      </c>
      <c r="P262" s="150" t="s">
        <v>4233</v>
      </c>
      <c r="Q262" s="150"/>
      <c r="R262" s="98"/>
      <c r="S262" s="146"/>
      <c r="T262" s="284" t="s">
        <v>4234</v>
      </c>
      <c r="U262" s="284" t="s">
        <v>2185</v>
      </c>
      <c r="W262" s="25"/>
      <c r="X262" s="25"/>
      <c r="Z262" s="25"/>
      <c r="AA262" s="77"/>
      <c r="AB262" s="77"/>
      <c r="AC262" s="274"/>
      <c r="AD262" s="40"/>
      <c r="AE262" s="77"/>
      <c r="AF262" s="77"/>
      <c r="AG262" s="77"/>
      <c r="AH262" s="77"/>
      <c r="AI262" s="77"/>
      <c r="AJ262" s="77"/>
      <c r="AK262" s="77"/>
    </row>
    <row r="263" spans="2:37" ht="10.5" customHeight="1">
      <c r="B263" s="146"/>
      <c r="C263" s="212" t="s">
        <v>4235</v>
      </c>
      <c r="D263" s="247"/>
      <c r="E263" s="146"/>
      <c r="F263" s="300"/>
      <c r="G263" s="600" t="s">
        <v>4236</v>
      </c>
      <c r="H263" s="600" t="s">
        <v>3703</v>
      </c>
      <c r="I263" s="601" t="s">
        <v>3780</v>
      </c>
      <c r="J263" s="601" t="s">
        <v>2726</v>
      </c>
      <c r="K263" s="602" t="s">
        <v>3782</v>
      </c>
      <c r="L263" s="603" t="s">
        <v>3727</v>
      </c>
      <c r="M263" s="1518" t="s">
        <v>1747</v>
      </c>
      <c r="N263" s="603" t="s">
        <v>2736</v>
      </c>
      <c r="O263" s="754" t="s">
        <v>4237</v>
      </c>
      <c r="P263" s="150" t="s">
        <v>4238</v>
      </c>
      <c r="Q263" s="150"/>
      <c r="R263" s="98"/>
      <c r="S263" s="146"/>
      <c r="T263" s="284" t="s">
        <v>4239</v>
      </c>
      <c r="U263" s="284" t="s">
        <v>4034</v>
      </c>
      <c r="W263" s="25"/>
      <c r="X263" s="25"/>
      <c r="Z263" s="25"/>
      <c r="AA263" s="77"/>
      <c r="AB263" s="77"/>
      <c r="AC263" s="274"/>
      <c r="AD263" s="40"/>
      <c r="AE263" s="77"/>
      <c r="AF263" s="77"/>
      <c r="AG263" s="77"/>
      <c r="AH263" s="77"/>
      <c r="AI263" s="77"/>
      <c r="AJ263" s="77"/>
      <c r="AK263" s="77"/>
    </row>
    <row r="264" spans="2:37" ht="10.5" customHeight="1">
      <c r="B264" s="146"/>
      <c r="C264" s="211" t="s">
        <v>4240</v>
      </c>
      <c r="D264" s="247"/>
      <c r="E264" s="146"/>
      <c r="F264" s="300"/>
      <c r="G264" s="600" t="s">
        <v>4241</v>
      </c>
      <c r="H264" s="600" t="s">
        <v>3703</v>
      </c>
      <c r="I264" s="604" t="s">
        <v>4053</v>
      </c>
      <c r="J264" s="604" t="s">
        <v>2726</v>
      </c>
      <c r="K264" s="602" t="s">
        <v>4242</v>
      </c>
      <c r="L264" s="603" t="s">
        <v>3727</v>
      </c>
      <c r="M264" s="1518" t="s">
        <v>1747</v>
      </c>
      <c r="N264" s="603" t="s">
        <v>2731</v>
      </c>
      <c r="O264" s="754" t="s">
        <v>4243</v>
      </c>
      <c r="P264" s="150" t="s">
        <v>4244</v>
      </c>
      <c r="Q264" s="150"/>
      <c r="R264" s="98"/>
      <c r="S264" s="146"/>
      <c r="T264" s="284" t="s">
        <v>4245</v>
      </c>
      <c r="U264" s="284" t="s">
        <v>3834</v>
      </c>
      <c r="W264" s="25"/>
      <c r="X264" s="25"/>
      <c r="Z264" s="25"/>
      <c r="AA264" s="77"/>
      <c r="AB264" s="77"/>
      <c r="AC264" s="274"/>
      <c r="AD264" s="40"/>
      <c r="AE264" s="77"/>
      <c r="AF264" s="77"/>
      <c r="AG264" s="77"/>
      <c r="AH264" s="77"/>
      <c r="AI264" s="77"/>
      <c r="AJ264" s="77"/>
      <c r="AK264" s="77"/>
    </row>
    <row r="265" spans="2:37" ht="10.5" customHeight="1">
      <c r="B265" s="146"/>
      <c r="C265" s="211" t="s">
        <v>2214</v>
      </c>
      <c r="D265" s="247"/>
      <c r="E265" s="146"/>
      <c r="F265" s="300"/>
      <c r="G265" s="600" t="s">
        <v>4246</v>
      </c>
      <c r="H265" s="600" t="s">
        <v>3703</v>
      </c>
      <c r="I265" s="601" t="s">
        <v>4056</v>
      </c>
      <c r="J265" s="601" t="s">
        <v>3544</v>
      </c>
      <c r="K265" s="602" t="s">
        <v>4247</v>
      </c>
      <c r="L265" s="603" t="s">
        <v>3706</v>
      </c>
      <c r="M265" s="1518" t="s">
        <v>1747</v>
      </c>
      <c r="N265" s="603" t="s">
        <v>2128</v>
      </c>
      <c r="O265" s="754" t="s">
        <v>4248</v>
      </c>
      <c r="P265" s="150" t="s">
        <v>4249</v>
      </c>
      <c r="Q265" s="150"/>
      <c r="R265" s="98"/>
      <c r="S265" s="146"/>
      <c r="T265" s="284" t="s">
        <v>4250</v>
      </c>
      <c r="U265" s="284" t="s">
        <v>3731</v>
      </c>
      <c r="W265" s="25"/>
      <c r="X265" s="25"/>
      <c r="Z265" s="25"/>
      <c r="AA265" s="77"/>
      <c r="AB265" s="77"/>
      <c r="AC265" s="274"/>
      <c r="AD265" s="40"/>
      <c r="AE265" s="77"/>
      <c r="AF265" s="77"/>
      <c r="AG265" s="77"/>
      <c r="AH265" s="77"/>
      <c r="AI265" s="77"/>
      <c r="AJ265" s="77"/>
      <c r="AK265" s="77"/>
    </row>
    <row r="266" spans="2:37" ht="10.5" customHeight="1">
      <c r="B266" s="146"/>
      <c r="C266" s="212" t="s">
        <v>4251</v>
      </c>
      <c r="D266" s="247"/>
      <c r="E266" s="146"/>
      <c r="F266" s="300"/>
      <c r="G266" s="600" t="s">
        <v>3924</v>
      </c>
      <c r="H266" s="600" t="s">
        <v>3703</v>
      </c>
      <c r="I266" s="601" t="s">
        <v>4062</v>
      </c>
      <c r="J266" s="601" t="s">
        <v>3544</v>
      </c>
      <c r="K266" s="602" t="s">
        <v>4252</v>
      </c>
      <c r="L266" s="603" t="s">
        <v>3706</v>
      </c>
      <c r="M266" s="1518" t="s">
        <v>1747</v>
      </c>
      <c r="N266" s="603" t="s">
        <v>2128</v>
      </c>
      <c r="O266" s="754" t="s">
        <v>4253</v>
      </c>
      <c r="P266" s="150" t="s">
        <v>4254</v>
      </c>
      <c r="Q266" s="150"/>
      <c r="R266" s="98"/>
      <c r="S266" s="146"/>
      <c r="T266" s="284" t="s">
        <v>4255</v>
      </c>
      <c r="U266" s="284" t="s">
        <v>178</v>
      </c>
      <c r="W266" s="25"/>
      <c r="X266" s="25"/>
      <c r="Z266" s="25"/>
      <c r="AA266" s="77"/>
      <c r="AB266" s="77"/>
      <c r="AC266" s="274"/>
      <c r="AD266" s="40"/>
      <c r="AE266" s="77"/>
      <c r="AF266" s="77"/>
      <c r="AG266" s="77"/>
      <c r="AH266" s="77"/>
      <c r="AI266" s="77"/>
      <c r="AJ266" s="77"/>
      <c r="AK266" s="77"/>
    </row>
    <row r="267" spans="2:37" ht="10.5" customHeight="1">
      <c r="B267" s="146"/>
      <c r="C267" s="211" t="s">
        <v>2216</v>
      </c>
      <c r="D267" s="247"/>
      <c r="E267" s="146"/>
      <c r="F267" s="300"/>
      <c r="G267" s="600" t="s">
        <v>4256</v>
      </c>
      <c r="H267" s="600" t="s">
        <v>770</v>
      </c>
      <c r="I267" s="604" t="s">
        <v>4069</v>
      </c>
      <c r="J267" s="604" t="s">
        <v>2726</v>
      </c>
      <c r="K267" s="602" t="s">
        <v>4257</v>
      </c>
      <c r="L267" s="603" t="s">
        <v>3727</v>
      </c>
      <c r="M267" s="1518" t="s">
        <v>1747</v>
      </c>
      <c r="N267" s="603" t="s">
        <v>2731</v>
      </c>
      <c r="O267" s="754" t="s">
        <v>4258</v>
      </c>
      <c r="P267" s="150" t="s">
        <v>4259</v>
      </c>
      <c r="Q267" s="150"/>
      <c r="R267" s="98"/>
      <c r="S267" s="146"/>
      <c r="T267" s="284" t="s">
        <v>4260</v>
      </c>
      <c r="U267" s="284" t="s">
        <v>3738</v>
      </c>
      <c r="W267" s="25"/>
      <c r="X267" s="25"/>
      <c r="Z267" s="25"/>
      <c r="AA267" s="77"/>
      <c r="AB267" s="77"/>
      <c r="AC267" s="274"/>
      <c r="AD267" s="40"/>
      <c r="AE267" s="77"/>
      <c r="AF267" s="77"/>
      <c r="AG267" s="77"/>
      <c r="AH267" s="77"/>
      <c r="AI267" s="77"/>
      <c r="AJ267" s="77"/>
      <c r="AK267" s="77"/>
    </row>
    <row r="268" spans="2:37" ht="10.5" customHeight="1">
      <c r="B268" s="146"/>
      <c r="C268" s="211" t="s">
        <v>4261</v>
      </c>
      <c r="D268" s="247"/>
      <c r="F268" s="300"/>
      <c r="G268" s="600" t="s">
        <v>152</v>
      </c>
      <c r="H268" s="600" t="s">
        <v>3703</v>
      </c>
      <c r="I268" s="601" t="s">
        <v>4075</v>
      </c>
      <c r="J268" s="601" t="s">
        <v>3544</v>
      </c>
      <c r="K268" s="602" t="s">
        <v>4262</v>
      </c>
      <c r="L268" s="603" t="s">
        <v>3706</v>
      </c>
      <c r="M268" s="1518" t="s">
        <v>1747</v>
      </c>
      <c r="N268" s="603" t="s">
        <v>2736</v>
      </c>
      <c r="O268" s="754" t="s">
        <v>4263</v>
      </c>
      <c r="P268" s="150" t="s">
        <v>4264</v>
      </c>
      <c r="Q268" s="150"/>
      <c r="R268" s="98"/>
      <c r="S268" s="146"/>
      <c r="T268" s="146" t="s">
        <v>4265</v>
      </c>
      <c r="U268" s="146" t="s">
        <v>3976</v>
      </c>
      <c r="W268" s="25"/>
      <c r="X268" s="25"/>
      <c r="Z268" s="25"/>
      <c r="AA268" s="77"/>
      <c r="AB268" s="77"/>
      <c r="AC268" s="274"/>
      <c r="AD268" s="40"/>
      <c r="AE268" s="77"/>
      <c r="AF268" s="77"/>
      <c r="AG268" s="77"/>
      <c r="AH268" s="77"/>
      <c r="AI268" s="77"/>
      <c r="AJ268" s="77"/>
      <c r="AK268" s="77"/>
    </row>
    <row r="269" spans="2:37" ht="10.5" customHeight="1">
      <c r="B269" s="146"/>
      <c r="C269" s="211" t="s">
        <v>4266</v>
      </c>
      <c r="D269" s="247"/>
      <c r="F269" s="300"/>
      <c r="G269" s="600" t="s">
        <v>4068</v>
      </c>
      <c r="H269" s="600" t="s">
        <v>770</v>
      </c>
      <c r="I269" s="604" t="s">
        <v>4079</v>
      </c>
      <c r="J269" s="601" t="s">
        <v>2726</v>
      </c>
      <c r="K269" s="602" t="s">
        <v>4267</v>
      </c>
      <c r="L269" s="603" t="s">
        <v>3727</v>
      </c>
      <c r="M269" s="1518" t="s">
        <v>1747</v>
      </c>
      <c r="N269" s="603" t="s">
        <v>2731</v>
      </c>
      <c r="O269" s="754" t="s">
        <v>4268</v>
      </c>
      <c r="P269" s="150" t="s">
        <v>4269</v>
      </c>
      <c r="Q269" s="150"/>
      <c r="R269" s="98"/>
      <c r="S269" s="146"/>
      <c r="T269" s="284" t="s">
        <v>2147</v>
      </c>
      <c r="U269" s="284" t="s">
        <v>3844</v>
      </c>
      <c r="W269" s="25"/>
      <c r="X269" s="25"/>
      <c r="Z269" s="25"/>
      <c r="AA269" s="77"/>
      <c r="AB269" s="77"/>
      <c r="AC269" s="40"/>
      <c r="AD269" s="40"/>
      <c r="AE269" s="77"/>
      <c r="AF269" s="77"/>
      <c r="AG269" s="77"/>
      <c r="AH269" s="77"/>
      <c r="AI269" s="77"/>
      <c r="AJ269" s="77"/>
      <c r="AK269" s="77"/>
    </row>
    <row r="270" spans="2:37" ht="10.5" customHeight="1">
      <c r="B270" s="146"/>
      <c r="C270" s="211" t="s">
        <v>4270</v>
      </c>
      <c r="D270" s="247"/>
      <c r="F270" s="300"/>
      <c r="G270" s="600" t="s">
        <v>4271</v>
      </c>
      <c r="H270" s="600" t="s">
        <v>770</v>
      </c>
      <c r="I270" s="601" t="s">
        <v>4084</v>
      </c>
      <c r="J270" s="601" t="s">
        <v>2726</v>
      </c>
      <c r="K270" s="602" t="s">
        <v>4272</v>
      </c>
      <c r="L270" s="603" t="s">
        <v>3727</v>
      </c>
      <c r="M270" s="1518" t="s">
        <v>1747</v>
      </c>
      <c r="N270" s="603" t="s">
        <v>2731</v>
      </c>
      <c r="O270" s="754" t="s">
        <v>4273</v>
      </c>
      <c r="P270" s="150" t="s">
        <v>4274</v>
      </c>
      <c r="Q270" s="150"/>
      <c r="R270" s="98"/>
      <c r="S270" s="146"/>
      <c r="T270" s="284" t="s">
        <v>2150</v>
      </c>
      <c r="U270" s="284" t="s">
        <v>171</v>
      </c>
      <c r="W270" s="25"/>
      <c r="X270" s="25"/>
      <c r="Z270" s="25"/>
      <c r="AA270" s="77"/>
      <c r="AB270" s="77"/>
      <c r="AC270" s="274"/>
      <c r="AD270" s="40"/>
      <c r="AE270" s="77"/>
      <c r="AF270" s="77"/>
      <c r="AG270" s="77"/>
      <c r="AH270" s="77"/>
      <c r="AI270" s="77"/>
      <c r="AJ270" s="77"/>
      <c r="AK270" s="77"/>
    </row>
    <row r="271" spans="2:37" ht="10.5" customHeight="1">
      <c r="B271" s="146"/>
      <c r="C271" s="211" t="s">
        <v>4275</v>
      </c>
      <c r="D271" s="247"/>
      <c r="F271" s="300"/>
      <c r="G271" s="600" t="s">
        <v>3998</v>
      </c>
      <c r="H271" s="600" t="s">
        <v>3768</v>
      </c>
      <c r="I271" s="604" t="s">
        <v>2734</v>
      </c>
      <c r="J271" s="604" t="s">
        <v>2726</v>
      </c>
      <c r="K271" s="602" t="s">
        <v>3858</v>
      </c>
      <c r="L271" s="603" t="s">
        <v>3727</v>
      </c>
      <c r="M271" s="1518" t="s">
        <v>3541</v>
      </c>
      <c r="N271" s="603" t="s">
        <v>2734</v>
      </c>
      <c r="O271" s="754" t="s">
        <v>4276</v>
      </c>
      <c r="P271" s="150" t="s">
        <v>4277</v>
      </c>
      <c r="Q271" s="150"/>
      <c r="R271" s="98"/>
      <c r="S271" s="146"/>
      <c r="T271" s="284" t="s">
        <v>4278</v>
      </c>
      <c r="U271" s="284" t="s">
        <v>4115</v>
      </c>
      <c r="W271" s="25"/>
      <c r="X271" s="25"/>
      <c r="Z271" s="25"/>
      <c r="AA271" s="77"/>
      <c r="AB271" s="77"/>
      <c r="AC271" s="274"/>
      <c r="AD271" s="40"/>
      <c r="AE271" s="77"/>
      <c r="AF271" s="77"/>
      <c r="AG271" s="77"/>
      <c r="AH271" s="77"/>
      <c r="AI271" s="77"/>
      <c r="AJ271" s="77"/>
      <c r="AK271" s="77"/>
    </row>
    <row r="272" spans="2:37" ht="10.5" customHeight="1">
      <c r="B272" s="146"/>
      <c r="C272" s="211" t="s">
        <v>4279</v>
      </c>
      <c r="D272" s="247"/>
      <c r="F272" s="300"/>
      <c r="G272" s="600" t="s">
        <v>4280</v>
      </c>
      <c r="H272" s="600" t="s">
        <v>770</v>
      </c>
      <c r="I272" s="604" t="s">
        <v>3732</v>
      </c>
      <c r="J272" s="604" t="s">
        <v>2726</v>
      </c>
      <c r="K272" s="602" t="s">
        <v>3747</v>
      </c>
      <c r="L272" s="603" t="s">
        <v>3727</v>
      </c>
      <c r="M272" s="1518" t="s">
        <v>3541</v>
      </c>
      <c r="N272" s="603" t="s">
        <v>2731</v>
      </c>
      <c r="O272" s="754" t="s">
        <v>4281</v>
      </c>
      <c r="P272" s="150" t="s">
        <v>4282</v>
      </c>
      <c r="Q272" s="150"/>
      <c r="R272" s="98"/>
      <c r="S272" s="146"/>
      <c r="T272" s="284" t="s">
        <v>4283</v>
      </c>
      <c r="U272" s="284" t="s">
        <v>98</v>
      </c>
      <c r="W272" s="25"/>
      <c r="X272" s="25"/>
      <c r="Z272" s="25"/>
      <c r="AA272" s="77"/>
      <c r="AB272" s="77"/>
      <c r="AC272" s="274"/>
      <c r="AD272" s="40"/>
      <c r="AE272" s="77"/>
      <c r="AF272" s="77"/>
      <c r="AG272" s="77"/>
      <c r="AH272" s="77"/>
      <c r="AI272" s="77"/>
      <c r="AJ272" s="77"/>
      <c r="AK272" s="77"/>
    </row>
    <row r="273" spans="2:37" ht="10.5" customHeight="1">
      <c r="B273" s="146"/>
      <c r="C273" s="211" t="s">
        <v>4284</v>
      </c>
      <c r="D273" s="247"/>
      <c r="F273" s="300"/>
      <c r="G273" s="600" t="s">
        <v>4005</v>
      </c>
      <c r="H273" s="600" t="s">
        <v>770</v>
      </c>
      <c r="I273" s="601" t="s">
        <v>3875</v>
      </c>
      <c r="J273" s="601" t="s">
        <v>2726</v>
      </c>
      <c r="K273" s="602" t="s">
        <v>3876</v>
      </c>
      <c r="L273" s="603" t="s">
        <v>3727</v>
      </c>
      <c r="M273" s="1518" t="s">
        <v>1747</v>
      </c>
      <c r="N273" s="603" t="s">
        <v>2730</v>
      </c>
      <c r="O273" s="754" t="s">
        <v>4285</v>
      </c>
      <c r="P273" s="150" t="s">
        <v>4286</v>
      </c>
      <c r="Q273" s="150"/>
      <c r="R273" s="98"/>
      <c r="S273" s="146"/>
      <c r="T273" s="284" t="s">
        <v>4287</v>
      </c>
      <c r="U273" s="284" t="s">
        <v>4271</v>
      </c>
      <c r="W273" s="25"/>
      <c r="X273" s="25"/>
      <c r="Z273" s="25"/>
      <c r="AA273" s="77"/>
      <c r="AB273" s="77"/>
      <c r="AC273" s="274"/>
      <c r="AD273" s="40"/>
      <c r="AE273" s="77"/>
      <c r="AF273" s="77"/>
      <c r="AG273" s="77"/>
      <c r="AH273" s="77"/>
      <c r="AI273" s="77"/>
      <c r="AJ273" s="77"/>
      <c r="AK273" s="77"/>
    </row>
    <row r="274" spans="2:37" ht="10.5" customHeight="1">
      <c r="B274" s="146"/>
      <c r="C274" s="211" t="s">
        <v>4288</v>
      </c>
      <c r="D274" s="247"/>
      <c r="F274" s="300"/>
      <c r="G274" s="600" t="s">
        <v>3867</v>
      </c>
      <c r="H274" s="600" t="s">
        <v>770</v>
      </c>
      <c r="I274" s="601" t="s">
        <v>3875</v>
      </c>
      <c r="J274" s="601" t="s">
        <v>2726</v>
      </c>
      <c r="K274" s="602" t="s">
        <v>3876</v>
      </c>
      <c r="L274" s="603" t="s">
        <v>3727</v>
      </c>
      <c r="M274" s="1518" t="s">
        <v>1747</v>
      </c>
      <c r="N274" s="603" t="s">
        <v>2730</v>
      </c>
      <c r="O274" s="754" t="s">
        <v>4289</v>
      </c>
      <c r="P274" s="150" t="s">
        <v>4290</v>
      </c>
      <c r="Q274" s="150"/>
      <c r="R274" s="98"/>
      <c r="S274" s="146"/>
      <c r="T274" s="284" t="s">
        <v>4291</v>
      </c>
      <c r="U274" s="284" t="s">
        <v>156</v>
      </c>
      <c r="W274" s="25"/>
      <c r="X274" s="25"/>
      <c r="Z274" s="25"/>
      <c r="AA274" s="77"/>
      <c r="AB274" s="77"/>
      <c r="AC274" s="274"/>
      <c r="AD274" s="40"/>
      <c r="AE274" s="77"/>
      <c r="AF274" s="77"/>
      <c r="AG274" s="77"/>
      <c r="AH274" s="77"/>
      <c r="AI274" s="77"/>
      <c r="AJ274" s="77"/>
      <c r="AK274" s="77"/>
    </row>
    <row r="275" spans="2:37" ht="10.5" customHeight="1">
      <c r="B275" s="146"/>
      <c r="C275" s="211" t="s">
        <v>4292</v>
      </c>
      <c r="D275" s="247"/>
      <c r="F275" s="300"/>
      <c r="G275" s="600" t="s">
        <v>4096</v>
      </c>
      <c r="H275" s="600" t="s">
        <v>770</v>
      </c>
      <c r="I275" s="604" t="s">
        <v>3732</v>
      </c>
      <c r="J275" s="604" t="s">
        <v>2726</v>
      </c>
      <c r="K275" s="602" t="s">
        <v>3747</v>
      </c>
      <c r="L275" s="603" t="s">
        <v>3727</v>
      </c>
      <c r="M275" s="1518" t="s">
        <v>3541</v>
      </c>
      <c r="N275" s="603" t="s">
        <v>2731</v>
      </c>
      <c r="O275" s="754" t="s">
        <v>4293</v>
      </c>
      <c r="P275" s="150" t="s">
        <v>4294</v>
      </c>
      <c r="Q275" s="150"/>
      <c r="R275" s="98"/>
      <c r="S275" s="146"/>
      <c r="T275" s="284" t="s">
        <v>105</v>
      </c>
      <c r="U275" s="284" t="s">
        <v>106</v>
      </c>
      <c r="W275" s="25"/>
      <c r="X275" s="25"/>
      <c r="Z275" s="25"/>
      <c r="AA275" s="77"/>
      <c r="AB275" s="77"/>
      <c r="AC275" s="274"/>
      <c r="AD275" s="40"/>
      <c r="AE275" s="77"/>
      <c r="AF275" s="77"/>
      <c r="AG275" s="77"/>
      <c r="AH275" s="77"/>
      <c r="AI275" s="77"/>
      <c r="AJ275" s="77"/>
      <c r="AK275" s="77"/>
    </row>
    <row r="276" spans="2:37" ht="10.5" customHeight="1">
      <c r="B276" s="146"/>
      <c r="C276" s="211" t="s">
        <v>4295</v>
      </c>
      <c r="D276" s="247"/>
      <c r="F276" s="300"/>
      <c r="G276" s="600" t="s">
        <v>4173</v>
      </c>
      <c r="H276" s="600" t="s">
        <v>770</v>
      </c>
      <c r="I276" s="604" t="s">
        <v>4090</v>
      </c>
      <c r="J276" s="604" t="s">
        <v>2726</v>
      </c>
      <c r="K276" s="602" t="s">
        <v>4296</v>
      </c>
      <c r="L276" s="603" t="s">
        <v>3727</v>
      </c>
      <c r="M276" s="1518" t="s">
        <v>1747</v>
      </c>
      <c r="N276" s="603" t="s">
        <v>2735</v>
      </c>
      <c r="O276" s="754" t="s">
        <v>4297</v>
      </c>
      <c r="P276" s="150" t="s">
        <v>4298</v>
      </c>
      <c r="Q276" s="150"/>
      <c r="R276" s="98"/>
      <c r="S276" s="146"/>
      <c r="T276" s="284" t="s">
        <v>4299</v>
      </c>
      <c r="U276" s="284" t="s">
        <v>3955</v>
      </c>
      <c r="W276" s="25"/>
      <c r="X276" s="25"/>
      <c r="Z276" s="25"/>
      <c r="AA276" s="77"/>
      <c r="AB276" s="77"/>
      <c r="AC276" s="274"/>
      <c r="AD276" s="40"/>
      <c r="AE276" s="77"/>
      <c r="AF276" s="77"/>
      <c r="AG276" s="77"/>
      <c r="AH276" s="77"/>
      <c r="AI276" s="77"/>
      <c r="AJ276" s="77"/>
      <c r="AK276" s="77"/>
    </row>
    <row r="277" spans="2:37" ht="10.5" customHeight="1">
      <c r="F277" s="300"/>
      <c r="G277" s="600" t="s">
        <v>4300</v>
      </c>
      <c r="H277" s="600" t="s">
        <v>770</v>
      </c>
      <c r="I277" s="604" t="s">
        <v>3732</v>
      </c>
      <c r="J277" s="604" t="s">
        <v>2726</v>
      </c>
      <c r="K277" s="602" t="s">
        <v>3747</v>
      </c>
      <c r="L277" s="603" t="s">
        <v>3727</v>
      </c>
      <c r="M277" s="1518" t="s">
        <v>3541</v>
      </c>
      <c r="N277" s="603" t="s">
        <v>2731</v>
      </c>
      <c r="O277" s="754" t="s">
        <v>4301</v>
      </c>
      <c r="P277" s="150" t="s">
        <v>4302</v>
      </c>
      <c r="Q277" s="150"/>
      <c r="R277" s="98"/>
      <c r="S277" s="146"/>
      <c r="T277" s="284" t="s">
        <v>4303</v>
      </c>
      <c r="U277" s="284" t="s">
        <v>4042</v>
      </c>
      <c r="W277" s="25"/>
      <c r="X277" s="25"/>
      <c r="Z277" s="77"/>
      <c r="AA277" s="77"/>
      <c r="AB277" s="77"/>
      <c r="AC277" s="274"/>
      <c r="AD277" s="40"/>
      <c r="AE277" s="77"/>
      <c r="AF277" s="77"/>
      <c r="AG277" s="77"/>
      <c r="AH277" s="77"/>
      <c r="AI277" s="77"/>
      <c r="AJ277" s="77"/>
      <c r="AK277" s="77"/>
    </row>
    <row r="278" spans="2:37" ht="10.5" customHeight="1">
      <c r="F278" s="300"/>
      <c r="G278" s="600" t="s">
        <v>4011</v>
      </c>
      <c r="H278" s="600" t="s">
        <v>3703</v>
      </c>
      <c r="I278" s="601" t="s">
        <v>4097</v>
      </c>
      <c r="J278" s="601" t="s">
        <v>3544</v>
      </c>
      <c r="K278" s="602" t="s">
        <v>4304</v>
      </c>
      <c r="L278" s="603" t="s">
        <v>3706</v>
      </c>
      <c r="M278" s="1518" t="s">
        <v>1747</v>
      </c>
      <c r="N278" s="603" t="s">
        <v>2214</v>
      </c>
      <c r="O278" s="754" t="s">
        <v>4305</v>
      </c>
      <c r="P278" s="150" t="s">
        <v>4306</v>
      </c>
      <c r="Q278" s="150"/>
      <c r="R278" s="98"/>
      <c r="S278" s="146"/>
      <c r="T278" s="284" t="s">
        <v>4307</v>
      </c>
      <c r="U278" s="284" t="s">
        <v>3955</v>
      </c>
      <c r="W278" s="25"/>
      <c r="X278" s="25"/>
      <c r="Z278" s="77"/>
      <c r="AA278" s="77"/>
      <c r="AB278" s="77"/>
      <c r="AC278" s="274"/>
      <c r="AD278" s="40"/>
      <c r="AE278" s="77"/>
      <c r="AF278" s="77"/>
      <c r="AG278" s="77"/>
      <c r="AH278" s="77"/>
      <c r="AI278" s="77"/>
      <c r="AJ278" s="77"/>
      <c r="AK278" s="77"/>
    </row>
    <row r="279" spans="2:37" ht="10.5" customHeight="1">
      <c r="F279" s="300"/>
      <c r="G279" s="600" t="s">
        <v>135</v>
      </c>
      <c r="H279" s="600" t="s">
        <v>3703</v>
      </c>
      <c r="I279" s="604" t="s">
        <v>3732</v>
      </c>
      <c r="J279" s="604" t="s">
        <v>2726</v>
      </c>
      <c r="K279" s="602" t="s">
        <v>3747</v>
      </c>
      <c r="L279" s="603" t="s">
        <v>3727</v>
      </c>
      <c r="M279" s="1518" t="s">
        <v>3541</v>
      </c>
      <c r="N279" s="603" t="s">
        <v>2731</v>
      </c>
      <c r="O279" s="754" t="s">
        <v>4308</v>
      </c>
      <c r="P279" s="150" t="s">
        <v>4309</v>
      </c>
      <c r="Q279" s="150"/>
      <c r="R279" s="98"/>
      <c r="S279" s="146"/>
      <c r="T279" s="284" t="s">
        <v>4310</v>
      </c>
      <c r="U279" s="284" t="s">
        <v>106</v>
      </c>
      <c r="W279" s="25"/>
      <c r="X279" s="25"/>
      <c r="Z279" s="77"/>
      <c r="AA279" s="77"/>
      <c r="AB279" s="77"/>
      <c r="AC279" s="274"/>
      <c r="AD279" s="40"/>
      <c r="AE279" s="77"/>
      <c r="AF279" s="77"/>
      <c r="AG279" s="77"/>
      <c r="AH279" s="77"/>
      <c r="AI279" s="77"/>
      <c r="AJ279" s="77"/>
      <c r="AK279" s="77"/>
    </row>
    <row r="280" spans="2:37" ht="10.5" customHeight="1">
      <c r="F280" s="300"/>
      <c r="G280" s="600" t="s">
        <v>3844</v>
      </c>
      <c r="H280" s="600" t="s">
        <v>770</v>
      </c>
      <c r="I280" s="601" t="s">
        <v>4103</v>
      </c>
      <c r="J280" s="601" t="s">
        <v>3544</v>
      </c>
      <c r="K280" s="602" t="s">
        <v>4311</v>
      </c>
      <c r="L280" s="603" t="s">
        <v>3706</v>
      </c>
      <c r="M280" s="1518" t="s">
        <v>1747</v>
      </c>
      <c r="N280" s="603" t="s">
        <v>2731</v>
      </c>
      <c r="O280" s="754" t="s">
        <v>4312</v>
      </c>
      <c r="P280" s="150" t="s">
        <v>4313</v>
      </c>
      <c r="Q280" s="150"/>
      <c r="R280" s="98"/>
      <c r="S280" s="146"/>
      <c r="T280" s="284" t="s">
        <v>4314</v>
      </c>
      <c r="U280" s="284" t="s">
        <v>166</v>
      </c>
      <c r="W280" s="25"/>
      <c r="X280" s="25"/>
      <c r="Z280" s="77"/>
      <c r="AA280" s="77"/>
      <c r="AB280" s="77"/>
      <c r="AC280" s="274"/>
      <c r="AD280" s="40"/>
      <c r="AE280" s="77"/>
      <c r="AF280" s="77"/>
      <c r="AG280" s="77"/>
      <c r="AH280" s="77"/>
      <c r="AI280" s="77"/>
      <c r="AJ280" s="77"/>
      <c r="AK280" s="77"/>
    </row>
    <row r="281" spans="2:37" ht="10.5" customHeight="1">
      <c r="F281" s="300"/>
      <c r="G281" s="600" t="s">
        <v>4315</v>
      </c>
      <c r="H281" s="600" t="s">
        <v>3703</v>
      </c>
      <c r="I281" s="604" t="s">
        <v>4108</v>
      </c>
      <c r="J281" s="604" t="s">
        <v>2726</v>
      </c>
      <c r="K281" s="602" t="s">
        <v>4316</v>
      </c>
      <c r="L281" s="603" t="s">
        <v>3727</v>
      </c>
      <c r="M281" s="1518" t="s">
        <v>1747</v>
      </c>
      <c r="N281" s="603" t="s">
        <v>2735</v>
      </c>
      <c r="O281" s="754" t="s">
        <v>4317</v>
      </c>
      <c r="P281" s="150" t="s">
        <v>4318</v>
      </c>
      <c r="Q281" s="150"/>
      <c r="R281" s="98"/>
      <c r="S281" s="146"/>
      <c r="T281" s="284" t="s">
        <v>4319</v>
      </c>
      <c r="U281" s="284" t="s">
        <v>98</v>
      </c>
      <c r="W281" s="25"/>
      <c r="X281" s="25"/>
      <c r="Z281" s="77"/>
      <c r="AA281" s="77"/>
      <c r="AB281" s="77"/>
      <c r="AC281" s="274"/>
      <c r="AD281" s="40"/>
      <c r="AE281" s="77"/>
      <c r="AF281" s="77"/>
      <c r="AG281" s="77"/>
      <c r="AH281" s="77"/>
      <c r="AI281" s="77"/>
      <c r="AJ281" s="77"/>
      <c r="AK281" s="77"/>
    </row>
    <row r="282" spans="2:37" ht="10.5" customHeight="1">
      <c r="F282" s="300"/>
      <c r="G282" s="600" t="s">
        <v>4320</v>
      </c>
      <c r="H282" s="600" t="s">
        <v>770</v>
      </c>
      <c r="I282" s="604" t="s">
        <v>4114</v>
      </c>
      <c r="J282" s="604" t="s">
        <v>3544</v>
      </c>
      <c r="K282" s="602" t="s">
        <v>4321</v>
      </c>
      <c r="L282" s="603" t="s">
        <v>3706</v>
      </c>
      <c r="M282" s="1518" t="s">
        <v>1747</v>
      </c>
      <c r="N282" s="603" t="s">
        <v>2731</v>
      </c>
      <c r="O282" s="754" t="s">
        <v>4322</v>
      </c>
      <c r="P282" s="150" t="s">
        <v>4323</v>
      </c>
      <c r="Q282" s="150"/>
      <c r="R282" s="98"/>
      <c r="S282" s="146"/>
      <c r="T282" s="284" t="s">
        <v>4324</v>
      </c>
      <c r="U282" s="284" t="s">
        <v>119</v>
      </c>
      <c r="W282" s="25"/>
      <c r="X282" s="25"/>
      <c r="Z282" s="77"/>
      <c r="AA282" s="77"/>
      <c r="AB282" s="77"/>
      <c r="AC282" s="274"/>
      <c r="AD282" s="40"/>
      <c r="AE282" s="77"/>
      <c r="AF282" s="77"/>
      <c r="AG282" s="77"/>
      <c r="AH282" s="77"/>
      <c r="AI282" s="77"/>
      <c r="AJ282" s="77"/>
      <c r="AK282" s="77"/>
    </row>
    <row r="283" spans="2:37" ht="10.5" customHeight="1">
      <c r="F283" s="300"/>
      <c r="G283" s="600" t="s">
        <v>128</v>
      </c>
      <c r="H283" s="600" t="s">
        <v>3703</v>
      </c>
      <c r="I283" s="601" t="s">
        <v>4119</v>
      </c>
      <c r="J283" s="601" t="s">
        <v>3544</v>
      </c>
      <c r="K283" s="602" t="s">
        <v>4325</v>
      </c>
      <c r="L283" s="603" t="s">
        <v>3706</v>
      </c>
      <c r="M283" s="1518" t="s">
        <v>1747</v>
      </c>
      <c r="N283" s="603" t="s">
        <v>2734</v>
      </c>
      <c r="O283" s="754" t="s">
        <v>4326</v>
      </c>
      <c r="P283" s="150" t="s">
        <v>4327</v>
      </c>
      <c r="Q283" s="150"/>
      <c r="R283" s="98"/>
      <c r="S283" s="146"/>
      <c r="T283" s="284" t="s">
        <v>103</v>
      </c>
      <c r="U283" s="284" t="s">
        <v>4328</v>
      </c>
      <c r="W283" s="25"/>
      <c r="X283" s="25"/>
      <c r="Z283" s="77"/>
      <c r="AA283" s="77"/>
      <c r="AB283" s="77"/>
      <c r="AC283" s="274"/>
      <c r="AD283" s="40"/>
      <c r="AE283" s="77"/>
      <c r="AF283" s="77"/>
      <c r="AG283" s="77"/>
      <c r="AH283" s="77"/>
      <c r="AI283" s="77"/>
      <c r="AJ283" s="77"/>
      <c r="AK283" s="77"/>
    </row>
    <row r="284" spans="2:37" ht="10.5" customHeight="1">
      <c r="F284" s="300"/>
      <c r="G284" s="600" t="s">
        <v>4328</v>
      </c>
      <c r="H284" s="600" t="s">
        <v>770</v>
      </c>
      <c r="I284" s="601" t="s">
        <v>4123</v>
      </c>
      <c r="J284" s="601" t="s">
        <v>3544</v>
      </c>
      <c r="K284" s="602" t="s">
        <v>4329</v>
      </c>
      <c r="L284" s="603" t="s">
        <v>3706</v>
      </c>
      <c r="M284" s="1518" t="s">
        <v>1747</v>
      </c>
      <c r="N284" s="603" t="s">
        <v>2730</v>
      </c>
      <c r="O284" s="754" t="s">
        <v>4330</v>
      </c>
      <c r="P284" s="150" t="s">
        <v>4331</v>
      </c>
      <c r="Q284" s="150"/>
      <c r="R284" s="98"/>
      <c r="S284" s="146"/>
      <c r="T284" s="284" t="s">
        <v>4332</v>
      </c>
      <c r="U284" s="284" t="s">
        <v>4085</v>
      </c>
      <c r="W284" s="25"/>
      <c r="X284" s="25"/>
      <c r="Z284" s="77"/>
      <c r="AA284" s="77"/>
      <c r="AB284" s="77"/>
      <c r="AC284" s="274"/>
      <c r="AD284" s="40"/>
      <c r="AE284" s="77"/>
      <c r="AF284" s="77"/>
      <c r="AG284" s="77"/>
      <c r="AH284" s="77"/>
      <c r="AI284" s="77"/>
      <c r="AJ284" s="77"/>
      <c r="AK284" s="77"/>
    </row>
    <row r="285" spans="2:37" ht="10.5" customHeight="1">
      <c r="F285" s="300"/>
      <c r="G285" s="600" t="s">
        <v>4333</v>
      </c>
      <c r="H285" s="600" t="s">
        <v>3703</v>
      </c>
      <c r="I285" s="601" t="s">
        <v>4127</v>
      </c>
      <c r="J285" s="601" t="s">
        <v>3544</v>
      </c>
      <c r="K285" s="602" t="s">
        <v>4334</v>
      </c>
      <c r="L285" s="603" t="s">
        <v>3706</v>
      </c>
      <c r="M285" s="1518" t="s">
        <v>1747</v>
      </c>
      <c r="N285" s="603" t="s">
        <v>2128</v>
      </c>
      <c r="O285" s="754" t="s">
        <v>4335</v>
      </c>
      <c r="P285" s="150" t="s">
        <v>4336</v>
      </c>
      <c r="Q285" s="150"/>
      <c r="R285" s="98"/>
      <c r="S285" s="146"/>
      <c r="T285" s="284" t="s">
        <v>4337</v>
      </c>
      <c r="U285" s="284" t="s">
        <v>4338</v>
      </c>
      <c r="W285" s="25"/>
      <c r="X285" s="25"/>
      <c r="Z285" s="77"/>
      <c r="AA285" s="77"/>
      <c r="AB285" s="77"/>
      <c r="AC285" s="274"/>
      <c r="AD285" s="40"/>
      <c r="AE285" s="77"/>
      <c r="AF285" s="77"/>
      <c r="AG285" s="77"/>
      <c r="AH285" s="77"/>
      <c r="AI285" s="77"/>
      <c r="AJ285" s="77"/>
      <c r="AK285" s="77"/>
    </row>
    <row r="286" spans="2:37" ht="10.5" customHeight="1">
      <c r="F286" s="300"/>
      <c r="G286" s="600" t="s">
        <v>3897</v>
      </c>
      <c r="H286" s="600" t="s">
        <v>3768</v>
      </c>
      <c r="I286" s="604" t="s">
        <v>3739</v>
      </c>
      <c r="J286" s="604" t="s">
        <v>2726</v>
      </c>
      <c r="K286" s="602" t="s">
        <v>3806</v>
      </c>
      <c r="L286" s="603" t="s">
        <v>3727</v>
      </c>
      <c r="M286" s="1518" t="s">
        <v>3541</v>
      </c>
      <c r="N286" s="603" t="s">
        <v>2732</v>
      </c>
      <c r="O286" s="754" t="s">
        <v>4339</v>
      </c>
      <c r="P286" s="150" t="s">
        <v>4340</v>
      </c>
      <c r="Q286" s="150"/>
      <c r="R286" s="98"/>
      <c r="S286" s="146"/>
      <c r="T286" s="284" t="s">
        <v>4341</v>
      </c>
      <c r="U286" s="284" t="s">
        <v>3888</v>
      </c>
      <c r="W286" s="25"/>
      <c r="X286" s="25"/>
      <c r="AA286"/>
      <c r="AB286"/>
      <c r="AC286" s="274"/>
      <c r="AD286" s="40"/>
    </row>
    <row r="287" spans="2:37" ht="10.5" customHeight="1">
      <c r="F287" s="300"/>
      <c r="G287" s="600" t="s">
        <v>145</v>
      </c>
      <c r="H287" s="600" t="s">
        <v>770</v>
      </c>
      <c r="I287" s="604" t="s">
        <v>3732</v>
      </c>
      <c r="J287" s="604" t="s">
        <v>2726</v>
      </c>
      <c r="K287" s="602" t="s">
        <v>3747</v>
      </c>
      <c r="L287" s="603" t="s">
        <v>3727</v>
      </c>
      <c r="M287" s="1518" t="s">
        <v>3541</v>
      </c>
      <c r="N287" s="603" t="s">
        <v>2731</v>
      </c>
      <c r="O287" s="754" t="s">
        <v>4342</v>
      </c>
      <c r="P287" s="150" t="s">
        <v>4343</v>
      </c>
      <c r="Q287" s="150"/>
      <c r="R287" s="98"/>
      <c r="S287" s="146"/>
      <c r="T287" s="284" t="s">
        <v>4344</v>
      </c>
      <c r="U287" s="284" t="s">
        <v>4345</v>
      </c>
      <c r="W287" s="25"/>
      <c r="X287" s="25"/>
      <c r="AA287"/>
      <c r="AB287"/>
      <c r="AC287" s="274"/>
      <c r="AD287" s="40"/>
    </row>
    <row r="288" spans="2:37" ht="10.5" customHeight="1">
      <c r="F288" s="300"/>
      <c r="G288" s="600" t="s">
        <v>4346</v>
      </c>
      <c r="H288" s="600" t="s">
        <v>3703</v>
      </c>
      <c r="I288" s="601" t="s">
        <v>4140</v>
      </c>
      <c r="J288" s="601" t="s">
        <v>3544</v>
      </c>
      <c r="K288" s="602" t="s">
        <v>4347</v>
      </c>
      <c r="L288" s="603" t="s">
        <v>3706</v>
      </c>
      <c r="M288" s="1518" t="s">
        <v>1747</v>
      </c>
      <c r="N288" s="603" t="s">
        <v>2734</v>
      </c>
      <c r="O288" s="754" t="s">
        <v>4348</v>
      </c>
      <c r="P288" s="150" t="s">
        <v>4349</v>
      </c>
      <c r="Q288" s="150"/>
      <c r="R288" s="98"/>
      <c r="S288" s="146"/>
      <c r="T288" s="284" t="s">
        <v>2153</v>
      </c>
      <c r="U288" s="284" t="s">
        <v>3775</v>
      </c>
      <c r="W288" s="25"/>
      <c r="X288" s="25"/>
      <c r="AA288"/>
      <c r="AB288"/>
      <c r="AC288" s="274"/>
      <c r="AD288" s="40"/>
    </row>
    <row r="289" spans="6:30" ht="10.5" customHeight="1">
      <c r="F289" s="300"/>
      <c r="G289" s="600" t="s">
        <v>4350</v>
      </c>
      <c r="H289" s="600" t="s">
        <v>3703</v>
      </c>
      <c r="I289" s="601" t="s">
        <v>4146</v>
      </c>
      <c r="J289" s="601" t="s">
        <v>3544</v>
      </c>
      <c r="K289" s="602" t="s">
        <v>4351</v>
      </c>
      <c r="L289" s="603" t="s">
        <v>3706</v>
      </c>
      <c r="M289" s="1518" t="s">
        <v>1747</v>
      </c>
      <c r="N289" s="603" t="s">
        <v>2736</v>
      </c>
      <c r="O289" s="754" t="s">
        <v>4352</v>
      </c>
      <c r="P289" s="150" t="s">
        <v>4353</v>
      </c>
      <c r="Q289" s="150"/>
      <c r="R289" s="98"/>
      <c r="S289" s="146"/>
      <c r="T289" s="284" t="s">
        <v>4354</v>
      </c>
      <c r="U289" s="284" t="s">
        <v>4355</v>
      </c>
      <c r="W289" s="25"/>
      <c r="X289" s="25"/>
      <c r="AA289"/>
      <c r="AB289"/>
      <c r="AC289" s="274"/>
      <c r="AD289" s="40"/>
    </row>
    <row r="290" spans="6:30" ht="10.5" customHeight="1">
      <c r="F290" s="300"/>
      <c r="G290" s="600" t="s">
        <v>3710</v>
      </c>
      <c r="H290" s="600"/>
      <c r="I290" s="600" t="s">
        <v>3710</v>
      </c>
      <c r="J290" s="601"/>
      <c r="K290" s="602"/>
      <c r="L290" s="603"/>
      <c r="M290" s="1519" t="s">
        <v>3710</v>
      </c>
      <c r="N290" s="600" t="s">
        <v>3710</v>
      </c>
      <c r="O290" s="754" t="s">
        <v>4356</v>
      </c>
      <c r="P290" s="150" t="s">
        <v>4357</v>
      </c>
      <c r="Q290" s="150"/>
      <c r="R290" s="98"/>
      <c r="S290" s="146"/>
      <c r="T290" s="284" t="s">
        <v>4358</v>
      </c>
      <c r="U290" s="284" t="s">
        <v>2185</v>
      </c>
      <c r="W290" s="25"/>
      <c r="X290" s="25"/>
      <c r="AA290"/>
      <c r="AB290"/>
      <c r="AC290" s="274"/>
      <c r="AD290" s="40"/>
    </row>
    <row r="291" spans="6:30" ht="10.5" customHeight="1">
      <c r="F291" s="300"/>
      <c r="G291" s="600" t="s">
        <v>4359</v>
      </c>
      <c r="H291" s="600" t="s">
        <v>3703</v>
      </c>
      <c r="I291" s="604" t="s">
        <v>4152</v>
      </c>
      <c r="J291" s="601" t="s">
        <v>3544</v>
      </c>
      <c r="K291" s="602" t="s">
        <v>4360</v>
      </c>
      <c r="L291" s="603" t="s">
        <v>3706</v>
      </c>
      <c r="M291" s="1518" t="s">
        <v>1747</v>
      </c>
      <c r="N291" s="603" t="s">
        <v>2128</v>
      </c>
      <c r="O291" s="754" t="s">
        <v>4361</v>
      </c>
      <c r="P291" s="150" t="s">
        <v>4362</v>
      </c>
      <c r="Q291" s="150"/>
      <c r="R291" s="98"/>
      <c r="S291" s="146"/>
      <c r="T291" s="146" t="s">
        <v>4363</v>
      </c>
      <c r="U291" s="146" t="s">
        <v>4333</v>
      </c>
      <c r="W291" s="25"/>
      <c r="X291" s="25"/>
      <c r="AA291"/>
      <c r="AB291"/>
      <c r="AC291" s="274"/>
      <c r="AD291" s="40"/>
    </row>
    <row r="292" spans="6:30" ht="10.5" customHeight="1">
      <c r="F292" s="300"/>
      <c r="G292" s="600" t="s">
        <v>116</v>
      </c>
      <c r="H292" s="600" t="s">
        <v>770</v>
      </c>
      <c r="I292" s="604" t="s">
        <v>3732</v>
      </c>
      <c r="J292" s="604" t="s">
        <v>2726</v>
      </c>
      <c r="K292" s="602" t="s">
        <v>3747</v>
      </c>
      <c r="L292" s="603" t="s">
        <v>3727</v>
      </c>
      <c r="M292" s="1518" t="s">
        <v>3541</v>
      </c>
      <c r="N292" s="603" t="s">
        <v>2731</v>
      </c>
      <c r="O292" s="754" t="s">
        <v>4364</v>
      </c>
      <c r="P292" s="150" t="s">
        <v>4365</v>
      </c>
      <c r="Q292" s="150"/>
      <c r="R292" s="98"/>
      <c r="S292" s="146"/>
      <c r="T292" s="284" t="s">
        <v>4366</v>
      </c>
      <c r="U292" s="284" t="s">
        <v>156</v>
      </c>
      <c r="W292" s="25"/>
      <c r="X292" s="25"/>
      <c r="AA292"/>
      <c r="AB292"/>
      <c r="AC292" s="40"/>
      <c r="AD292" s="40"/>
    </row>
    <row r="293" spans="6:30" ht="10.5" customHeight="1">
      <c r="F293" s="300"/>
      <c r="G293" s="600" t="s">
        <v>3909</v>
      </c>
      <c r="H293" s="600" t="s">
        <v>770</v>
      </c>
      <c r="I293" s="604" t="s">
        <v>4158</v>
      </c>
      <c r="J293" s="604" t="s">
        <v>3544</v>
      </c>
      <c r="K293" s="602" t="s">
        <v>4367</v>
      </c>
      <c r="L293" s="603" t="s">
        <v>3706</v>
      </c>
      <c r="M293" s="1518" t="s">
        <v>1747</v>
      </c>
      <c r="N293" s="603" t="s">
        <v>2730</v>
      </c>
      <c r="O293" s="754" t="s">
        <v>4368</v>
      </c>
      <c r="P293" s="150" t="s">
        <v>4369</v>
      </c>
      <c r="Q293" s="150"/>
      <c r="R293" s="98"/>
      <c r="S293" s="146"/>
      <c r="T293" s="284" t="s">
        <v>4370</v>
      </c>
      <c r="U293" s="284" t="s">
        <v>4345</v>
      </c>
      <c r="W293" s="25"/>
      <c r="X293" s="25"/>
      <c r="AA293"/>
      <c r="AB293"/>
      <c r="AC293" s="274"/>
      <c r="AD293" s="40"/>
    </row>
    <row r="294" spans="6:30" ht="10.5" customHeight="1">
      <c r="F294" s="300"/>
      <c r="G294" s="600" t="s">
        <v>4371</v>
      </c>
      <c r="H294" s="600" t="s">
        <v>3703</v>
      </c>
      <c r="I294" s="601" t="s">
        <v>4164</v>
      </c>
      <c r="J294" s="604" t="s">
        <v>2726</v>
      </c>
      <c r="K294" s="602" t="s">
        <v>4372</v>
      </c>
      <c r="L294" s="603" t="s">
        <v>3706</v>
      </c>
      <c r="M294" s="1518" t="s">
        <v>1747</v>
      </c>
      <c r="N294" s="603" t="s">
        <v>2734</v>
      </c>
      <c r="O294" s="754" t="s">
        <v>4373</v>
      </c>
      <c r="P294" s="150" t="s">
        <v>4374</v>
      </c>
      <c r="Q294" s="150"/>
      <c r="R294" s="98"/>
      <c r="S294" s="146"/>
      <c r="T294" s="284" t="s">
        <v>3904</v>
      </c>
      <c r="U294" s="284" t="s">
        <v>4246</v>
      </c>
      <c r="W294" s="25"/>
      <c r="X294" s="25"/>
      <c r="AA294"/>
      <c r="AB294"/>
      <c r="AC294" s="274"/>
      <c r="AD294" s="40"/>
    </row>
    <row r="295" spans="6:30" ht="10.5" customHeight="1">
      <c r="F295" s="300"/>
      <c r="G295" s="600" t="s">
        <v>3823</v>
      </c>
      <c r="H295" s="600" t="s">
        <v>3768</v>
      </c>
      <c r="I295" s="601" t="s">
        <v>4169</v>
      </c>
      <c r="J295" s="601" t="s">
        <v>3544</v>
      </c>
      <c r="K295" s="602" t="s">
        <v>4375</v>
      </c>
      <c r="L295" s="603" t="s">
        <v>3706</v>
      </c>
      <c r="M295" s="1518" t="s">
        <v>1747</v>
      </c>
      <c r="N295" s="603" t="s">
        <v>2128</v>
      </c>
      <c r="O295" s="754" t="s">
        <v>4376</v>
      </c>
      <c r="P295" s="150" t="s">
        <v>4377</v>
      </c>
      <c r="Q295" s="150"/>
      <c r="R295" s="98"/>
      <c r="S295" s="146"/>
      <c r="T295" s="284" t="s">
        <v>2734</v>
      </c>
      <c r="U295" s="284" t="s">
        <v>3998</v>
      </c>
      <c r="W295" s="25"/>
      <c r="X295" s="25"/>
      <c r="AA295"/>
      <c r="AB295"/>
      <c r="AC295" s="274"/>
      <c r="AD295" s="40"/>
    </row>
    <row r="296" spans="6:30" ht="10.5" customHeight="1">
      <c r="F296" s="300"/>
      <c r="G296" s="600" t="s">
        <v>4378</v>
      </c>
      <c r="H296" s="600" t="s">
        <v>3703</v>
      </c>
      <c r="I296" s="601" t="s">
        <v>4174</v>
      </c>
      <c r="J296" s="601" t="s">
        <v>2726</v>
      </c>
      <c r="K296" s="602" t="s">
        <v>4379</v>
      </c>
      <c r="L296" s="603" t="s">
        <v>3706</v>
      </c>
      <c r="M296" s="1518" t="s">
        <v>1747</v>
      </c>
      <c r="N296" s="603" t="s">
        <v>2734</v>
      </c>
      <c r="O296" s="754" t="s">
        <v>4380</v>
      </c>
      <c r="P296" s="150" t="s">
        <v>4381</v>
      </c>
      <c r="Q296" s="150"/>
      <c r="R296" s="98"/>
      <c r="S296" s="146"/>
      <c r="T296" s="284" t="s">
        <v>4382</v>
      </c>
      <c r="U296" s="284" t="s">
        <v>2185</v>
      </c>
      <c r="W296" s="25"/>
      <c r="X296" s="25"/>
      <c r="AA296"/>
      <c r="AB296"/>
      <c r="AC296" s="274"/>
      <c r="AD296" s="40"/>
    </row>
    <row r="297" spans="6:30" ht="10.5" customHeight="1">
      <c r="F297" s="300"/>
      <c r="G297" s="600" t="s">
        <v>4383</v>
      </c>
      <c r="H297" s="600" t="s">
        <v>770</v>
      </c>
      <c r="I297" s="601" t="s">
        <v>4180</v>
      </c>
      <c r="J297" s="601" t="s">
        <v>3544</v>
      </c>
      <c r="K297" s="602" t="s">
        <v>4384</v>
      </c>
      <c r="L297" s="603" t="s">
        <v>3706</v>
      </c>
      <c r="M297" s="1518" t="s">
        <v>1747</v>
      </c>
      <c r="N297" s="603" t="s">
        <v>2730</v>
      </c>
      <c r="O297" s="754" t="s">
        <v>4385</v>
      </c>
      <c r="P297" s="150" t="s">
        <v>4386</v>
      </c>
      <c r="Q297" s="150"/>
      <c r="R297" s="98"/>
      <c r="S297" s="146"/>
      <c r="T297" s="146" t="s">
        <v>2156</v>
      </c>
      <c r="U297" s="146" t="s">
        <v>3851</v>
      </c>
      <c r="W297" s="25"/>
      <c r="X297" s="25"/>
      <c r="AA297"/>
      <c r="AB297"/>
      <c r="AC297" s="274"/>
      <c r="AD297" s="40"/>
    </row>
    <row r="298" spans="6:30" ht="10.5" customHeight="1">
      <c r="F298" s="300"/>
      <c r="G298" s="600" t="s">
        <v>4345</v>
      </c>
      <c r="H298" s="600" t="s">
        <v>3703</v>
      </c>
      <c r="I298" s="601" t="s">
        <v>4185</v>
      </c>
      <c r="J298" s="601" t="s">
        <v>3544</v>
      </c>
      <c r="K298" s="602" t="s">
        <v>4387</v>
      </c>
      <c r="L298" s="603" t="s">
        <v>3706</v>
      </c>
      <c r="M298" s="1518" t="s">
        <v>1747</v>
      </c>
      <c r="N298" s="603" t="s">
        <v>2736</v>
      </c>
      <c r="O298" s="754" t="s">
        <v>4388</v>
      </c>
      <c r="P298" s="150" t="s">
        <v>4389</v>
      </c>
      <c r="Q298" s="150"/>
      <c r="R298" s="98"/>
      <c r="S298" s="146"/>
      <c r="T298" s="284" t="s">
        <v>4390</v>
      </c>
      <c r="U298" s="284" t="s">
        <v>135</v>
      </c>
      <c r="W298" s="25"/>
      <c r="X298" s="25"/>
      <c r="AA298"/>
      <c r="AB298"/>
      <c r="AC298" s="40"/>
      <c r="AD298" s="40"/>
    </row>
    <row r="299" spans="6:30" ht="10.5" customHeight="1">
      <c r="F299" s="300"/>
      <c r="G299" s="600" t="s">
        <v>4163</v>
      </c>
      <c r="H299" s="600" t="s">
        <v>3703</v>
      </c>
      <c r="I299" s="601" t="s">
        <v>4189</v>
      </c>
      <c r="J299" s="601" t="s">
        <v>3544</v>
      </c>
      <c r="K299" s="602" t="s">
        <v>4391</v>
      </c>
      <c r="L299" s="603" t="s">
        <v>3706</v>
      </c>
      <c r="M299" s="1518" t="s">
        <v>1747</v>
      </c>
      <c r="N299" s="603" t="s">
        <v>2734</v>
      </c>
      <c r="O299" s="754" t="s">
        <v>4392</v>
      </c>
      <c r="P299" s="150" t="s">
        <v>4393</v>
      </c>
      <c r="Q299" s="150"/>
      <c r="R299" s="98"/>
      <c r="S299" s="146"/>
      <c r="T299" s="284" t="s">
        <v>107</v>
      </c>
      <c r="U299" s="284" t="s">
        <v>103</v>
      </c>
      <c r="W299" s="25"/>
      <c r="X299" s="25"/>
      <c r="AA299"/>
      <c r="AB299"/>
      <c r="AC299" s="274"/>
      <c r="AD299" s="40"/>
    </row>
    <row r="300" spans="6:30" ht="10.5" customHeight="1">
      <c r="F300" s="300"/>
      <c r="G300" s="600" t="s">
        <v>4394</v>
      </c>
      <c r="H300" s="600" t="s">
        <v>3703</v>
      </c>
      <c r="I300" s="601" t="s">
        <v>4195</v>
      </c>
      <c r="J300" s="601" t="s">
        <v>3544</v>
      </c>
      <c r="K300" s="602" t="s">
        <v>4395</v>
      </c>
      <c r="L300" s="603" t="s">
        <v>3706</v>
      </c>
      <c r="M300" s="1518" t="s">
        <v>1747</v>
      </c>
      <c r="N300" s="603" t="s">
        <v>2128</v>
      </c>
      <c r="O300" s="754" t="s">
        <v>4396</v>
      </c>
      <c r="P300" s="150" t="s">
        <v>4397</v>
      </c>
      <c r="Q300" s="150"/>
      <c r="R300" s="98"/>
      <c r="S300" s="146"/>
      <c r="T300" s="284" t="s">
        <v>2160</v>
      </c>
      <c r="U300" s="284" t="s">
        <v>145</v>
      </c>
      <c r="W300" s="25"/>
      <c r="X300" s="25"/>
      <c r="AA300"/>
      <c r="AB300"/>
      <c r="AC300" s="274"/>
      <c r="AD300" s="40"/>
    </row>
    <row r="301" spans="6:30" ht="10.5" customHeight="1">
      <c r="F301" s="300"/>
      <c r="G301" s="600" t="s">
        <v>4113</v>
      </c>
      <c r="H301" s="600" t="s">
        <v>3703</v>
      </c>
      <c r="I301" s="604" t="s">
        <v>2128</v>
      </c>
      <c r="J301" s="601" t="s">
        <v>2726</v>
      </c>
      <c r="K301" s="602" t="s">
        <v>3967</v>
      </c>
      <c r="L301" s="603" t="s">
        <v>3727</v>
      </c>
      <c r="M301" s="1518" t="s">
        <v>1747</v>
      </c>
      <c r="N301" s="603" t="s">
        <v>2128</v>
      </c>
      <c r="O301" s="754" t="s">
        <v>4398</v>
      </c>
      <c r="P301" s="150" t="s">
        <v>4399</v>
      </c>
      <c r="Q301" s="150"/>
      <c r="R301" s="98"/>
      <c r="S301" s="146"/>
      <c r="T301" s="284" t="s">
        <v>4400</v>
      </c>
      <c r="U301" s="284" t="s">
        <v>3953</v>
      </c>
      <c r="W301" s="25"/>
      <c r="X301" s="25"/>
      <c r="AA301"/>
      <c r="AB301"/>
      <c r="AC301" s="274"/>
      <c r="AD301" s="40"/>
    </row>
    <row r="302" spans="6:30" ht="10.5" customHeight="1">
      <c r="F302" s="300"/>
      <c r="G302" s="600" t="s">
        <v>3953</v>
      </c>
      <c r="H302" s="600" t="s">
        <v>3703</v>
      </c>
      <c r="I302" s="604" t="s">
        <v>4202</v>
      </c>
      <c r="J302" s="604" t="s">
        <v>3544</v>
      </c>
      <c r="K302" s="602" t="s">
        <v>4401</v>
      </c>
      <c r="L302" s="603" t="s">
        <v>3706</v>
      </c>
      <c r="M302" s="1518" t="s">
        <v>1747</v>
      </c>
      <c r="N302" s="603" t="s">
        <v>2214</v>
      </c>
      <c r="O302" s="754" t="s">
        <v>4402</v>
      </c>
      <c r="P302" s="150" t="s">
        <v>4403</v>
      </c>
      <c r="Q302" s="150"/>
      <c r="R302" s="98"/>
      <c r="S302" s="146"/>
      <c r="T302" s="284" t="s">
        <v>2164</v>
      </c>
      <c r="U302" s="284" t="s">
        <v>3838</v>
      </c>
      <c r="W302" s="25"/>
      <c r="X302" s="25"/>
      <c r="AA302"/>
      <c r="AB302"/>
      <c r="AC302" s="274"/>
      <c r="AD302" s="40"/>
    </row>
    <row r="303" spans="6:30" ht="10.5" customHeight="1">
      <c r="F303" s="300"/>
      <c r="G303" s="600" t="s">
        <v>162</v>
      </c>
      <c r="H303" s="600" t="s">
        <v>3703</v>
      </c>
      <c r="I303" s="604" t="s">
        <v>4208</v>
      </c>
      <c r="J303" s="604" t="s">
        <v>3544</v>
      </c>
      <c r="K303" s="602" t="s">
        <v>4404</v>
      </c>
      <c r="L303" s="603" t="s">
        <v>3706</v>
      </c>
      <c r="M303" s="1518" t="s">
        <v>1747</v>
      </c>
      <c r="N303" s="603" t="s">
        <v>2128</v>
      </c>
      <c r="O303" s="754" t="s">
        <v>4405</v>
      </c>
      <c r="P303" s="150" t="s">
        <v>4406</v>
      </c>
      <c r="Q303" s="150"/>
      <c r="R303" s="98"/>
      <c r="S303" s="146"/>
      <c r="T303" s="284" t="s">
        <v>4407</v>
      </c>
      <c r="U303" s="284" t="s">
        <v>4115</v>
      </c>
      <c r="W303" s="25"/>
      <c r="X303" s="25"/>
      <c r="AA303"/>
      <c r="AB303"/>
      <c r="AC303" s="274"/>
      <c r="AD303" s="539"/>
    </row>
    <row r="304" spans="6:30" ht="10.5" customHeight="1">
      <c r="F304" s="300"/>
      <c r="G304" s="600" t="s">
        <v>4408</v>
      </c>
      <c r="H304" s="600" t="s">
        <v>3703</v>
      </c>
      <c r="I304" s="604" t="s">
        <v>4211</v>
      </c>
      <c r="J304" s="604" t="s">
        <v>3544</v>
      </c>
      <c r="K304" s="602" t="s">
        <v>4409</v>
      </c>
      <c r="L304" s="603" t="s">
        <v>3706</v>
      </c>
      <c r="M304" s="1518" t="s">
        <v>1747</v>
      </c>
      <c r="N304" s="603" t="s">
        <v>2736</v>
      </c>
      <c r="O304" s="754" t="s">
        <v>4410</v>
      </c>
      <c r="P304" s="150" t="s">
        <v>4411</v>
      </c>
      <c r="Q304" s="150"/>
      <c r="R304" s="98"/>
      <c r="S304" s="146"/>
      <c r="T304" s="284" t="s">
        <v>4412</v>
      </c>
      <c r="U304" s="284" t="s">
        <v>166</v>
      </c>
      <c r="W304" s="25"/>
      <c r="X304" s="25"/>
      <c r="AA304"/>
      <c r="AB304"/>
      <c r="AC304" s="274"/>
      <c r="AD304" s="40"/>
    </row>
    <row r="305" spans="6:30" ht="10.5" customHeight="1">
      <c r="F305" s="300"/>
      <c r="G305" s="600" t="s">
        <v>131</v>
      </c>
      <c r="H305" s="600" t="s">
        <v>770</v>
      </c>
      <c r="I305" s="604" t="s">
        <v>4217</v>
      </c>
      <c r="J305" s="604" t="s">
        <v>3544</v>
      </c>
      <c r="K305" s="602" t="s">
        <v>4413</v>
      </c>
      <c r="L305" s="603" t="s">
        <v>3706</v>
      </c>
      <c r="M305" s="1518" t="s">
        <v>1747</v>
      </c>
      <c r="N305" s="603" t="s">
        <v>2730</v>
      </c>
      <c r="O305" s="754" t="s">
        <v>4414</v>
      </c>
      <c r="P305" s="150" t="s">
        <v>4415</v>
      </c>
      <c r="Q305" s="150"/>
      <c r="R305" s="98"/>
      <c r="S305" s="146"/>
      <c r="T305" s="284" t="s">
        <v>108</v>
      </c>
      <c r="U305" s="284" t="s">
        <v>109</v>
      </c>
      <c r="W305" s="25"/>
      <c r="X305" s="25"/>
      <c r="AA305"/>
      <c r="AB305"/>
      <c r="AC305" s="274"/>
      <c r="AD305" s="40"/>
    </row>
    <row r="306" spans="6:30" ht="10.5" customHeight="1">
      <c r="F306" s="300"/>
      <c r="G306" s="600" t="s">
        <v>4416</v>
      </c>
      <c r="H306" s="600" t="s">
        <v>3703</v>
      </c>
      <c r="I306" s="604" t="s">
        <v>4222</v>
      </c>
      <c r="J306" s="604" t="s">
        <v>3544</v>
      </c>
      <c r="K306" s="602" t="s">
        <v>4417</v>
      </c>
      <c r="L306" s="603" t="s">
        <v>3706</v>
      </c>
      <c r="M306" s="1518" t="s">
        <v>1747</v>
      </c>
      <c r="N306" s="603" t="s">
        <v>2735</v>
      </c>
      <c r="O306" s="754" t="s">
        <v>4418</v>
      </c>
      <c r="P306" s="150" t="s">
        <v>4419</v>
      </c>
      <c r="Q306" s="150"/>
      <c r="R306" s="98"/>
      <c r="S306" s="146"/>
      <c r="T306" s="284" t="s">
        <v>4420</v>
      </c>
      <c r="U306" s="284" t="s">
        <v>4280</v>
      </c>
      <c r="W306" s="25"/>
      <c r="X306" s="25"/>
      <c r="AA306"/>
      <c r="AB306"/>
      <c r="AC306" s="274"/>
      <c r="AD306" s="40"/>
    </row>
    <row r="307" spans="6:30" ht="10.5" customHeight="1">
      <c r="F307" s="300"/>
      <c r="G307" s="600" t="s">
        <v>4421</v>
      </c>
      <c r="H307" s="600" t="s">
        <v>3703</v>
      </c>
      <c r="I307" s="601" t="s">
        <v>4226</v>
      </c>
      <c r="J307" s="604" t="s">
        <v>3544</v>
      </c>
      <c r="K307" s="602" t="s">
        <v>4422</v>
      </c>
      <c r="L307" s="603" t="s">
        <v>3706</v>
      </c>
      <c r="M307" s="1518" t="s">
        <v>1747</v>
      </c>
      <c r="N307" s="603" t="s">
        <v>2731</v>
      </c>
      <c r="O307" s="754" t="s">
        <v>4423</v>
      </c>
      <c r="P307" s="150" t="s">
        <v>4424</v>
      </c>
      <c r="Q307" s="150"/>
      <c r="R307" s="98"/>
      <c r="S307" s="146"/>
      <c r="T307" s="284" t="s">
        <v>3926</v>
      </c>
      <c r="U307" s="284" t="s">
        <v>3867</v>
      </c>
      <c r="W307" s="25"/>
      <c r="X307" s="25"/>
      <c r="AA307"/>
      <c r="AB307"/>
      <c r="AC307" s="274"/>
      <c r="AD307" s="40"/>
    </row>
    <row r="308" spans="6:30" ht="10.5" customHeight="1">
      <c r="F308" s="300"/>
      <c r="G308" s="600" t="s">
        <v>3873</v>
      </c>
      <c r="H308" s="600" t="s">
        <v>3703</v>
      </c>
      <c r="I308" s="604" t="s">
        <v>4230</v>
      </c>
      <c r="J308" s="601" t="s">
        <v>3544</v>
      </c>
      <c r="K308" s="602" t="s">
        <v>4425</v>
      </c>
      <c r="L308" s="603" t="s">
        <v>3706</v>
      </c>
      <c r="M308" s="1518" t="s">
        <v>1747</v>
      </c>
      <c r="N308" s="603" t="s">
        <v>2128</v>
      </c>
      <c r="O308" s="754" t="s">
        <v>4426</v>
      </c>
      <c r="P308" s="150" t="s">
        <v>4427</v>
      </c>
      <c r="Q308" s="150"/>
      <c r="R308" s="98"/>
      <c r="S308" s="146"/>
      <c r="T308" s="284" t="s">
        <v>4428</v>
      </c>
      <c r="U308" s="284" t="s">
        <v>4383</v>
      </c>
      <c r="W308" s="25"/>
      <c r="X308" s="25"/>
      <c r="AA308"/>
      <c r="AB308"/>
      <c r="AC308" s="274"/>
      <c r="AD308" s="40"/>
    </row>
    <row r="309" spans="6:30" ht="10.5" customHeight="1">
      <c r="F309" s="300"/>
      <c r="G309" s="600" t="s">
        <v>4429</v>
      </c>
      <c r="H309" s="600" t="s">
        <v>3703</v>
      </c>
      <c r="I309" s="604" t="s">
        <v>2735</v>
      </c>
      <c r="J309" s="604" t="s">
        <v>2726</v>
      </c>
      <c r="K309" s="602" t="s">
        <v>3769</v>
      </c>
      <c r="L309" s="603" t="s">
        <v>3727</v>
      </c>
      <c r="M309" s="1518" t="s">
        <v>1747</v>
      </c>
      <c r="N309" s="603" t="s">
        <v>2735</v>
      </c>
      <c r="O309" s="754" t="s">
        <v>4430</v>
      </c>
      <c r="P309" s="150" t="s">
        <v>4431</v>
      </c>
      <c r="Q309" s="150"/>
      <c r="R309" s="98"/>
      <c r="S309" s="146"/>
      <c r="T309" s="284" t="s">
        <v>4432</v>
      </c>
      <c r="U309" s="284" t="s">
        <v>4320</v>
      </c>
      <c r="W309" s="25"/>
      <c r="X309" s="25"/>
      <c r="AA309"/>
      <c r="AB309"/>
      <c r="AC309" s="274"/>
      <c r="AD309" s="40"/>
    </row>
    <row r="310" spans="6:30" ht="10.5" customHeight="1">
      <c r="F310" s="300"/>
      <c r="G310" s="600" t="s">
        <v>4022</v>
      </c>
      <c r="H310" s="600" t="s">
        <v>770</v>
      </c>
      <c r="I310" s="604" t="s">
        <v>4235</v>
      </c>
      <c r="J310" s="604" t="s">
        <v>3544</v>
      </c>
      <c r="K310" s="602" t="s">
        <v>4433</v>
      </c>
      <c r="L310" s="603" t="s">
        <v>3706</v>
      </c>
      <c r="M310" s="1518" t="s">
        <v>1747</v>
      </c>
      <c r="N310" s="603" t="s">
        <v>2730</v>
      </c>
      <c r="O310" s="754" t="s">
        <v>4434</v>
      </c>
      <c r="P310" s="150" t="s">
        <v>4435</v>
      </c>
      <c r="Q310" s="150"/>
      <c r="R310" s="98"/>
      <c r="S310" s="146"/>
      <c r="T310" s="284" t="s">
        <v>4436</v>
      </c>
      <c r="U310" s="284" t="s">
        <v>4256</v>
      </c>
      <c r="W310" s="25"/>
      <c r="X310" s="25"/>
      <c r="AA310"/>
      <c r="AB310"/>
      <c r="AC310" s="274"/>
      <c r="AD310" s="40"/>
    </row>
    <row r="311" spans="6:30" ht="10.5" customHeight="1">
      <c r="F311" s="300"/>
      <c r="G311" s="600" t="s">
        <v>133</v>
      </c>
      <c r="H311" s="600" t="s">
        <v>3703</v>
      </c>
      <c r="I311" s="601" t="s">
        <v>4240</v>
      </c>
      <c r="J311" s="604" t="s">
        <v>3544</v>
      </c>
      <c r="K311" s="602" t="s">
        <v>4437</v>
      </c>
      <c r="L311" s="603" t="s">
        <v>3706</v>
      </c>
      <c r="M311" s="1518" t="s">
        <v>1747</v>
      </c>
      <c r="N311" s="603" t="s">
        <v>2731</v>
      </c>
      <c r="O311" s="754" t="s">
        <v>4438</v>
      </c>
      <c r="P311" s="150" t="s">
        <v>4439</v>
      </c>
      <c r="Q311" s="150"/>
      <c r="R311" s="98"/>
      <c r="S311" s="146"/>
      <c r="T311" s="284" t="s">
        <v>4440</v>
      </c>
      <c r="U311" s="284" t="s">
        <v>4029</v>
      </c>
      <c r="W311" s="25"/>
      <c r="X311" s="25"/>
      <c r="AA311"/>
      <c r="AB311"/>
      <c r="AC311" s="274"/>
      <c r="AD311" s="40"/>
    </row>
    <row r="312" spans="6:30" ht="10.5" customHeight="1">
      <c r="F312" s="300"/>
      <c r="G312" s="600" t="s">
        <v>106</v>
      </c>
      <c r="H312" s="600" t="s">
        <v>770</v>
      </c>
      <c r="I312" s="604" t="s">
        <v>2733</v>
      </c>
      <c r="J312" s="601" t="s">
        <v>2726</v>
      </c>
      <c r="K312" s="602" t="s">
        <v>3840</v>
      </c>
      <c r="L312" s="603" t="s">
        <v>3727</v>
      </c>
      <c r="M312" s="1518" t="s">
        <v>1747</v>
      </c>
      <c r="N312" s="603" t="s">
        <v>2733</v>
      </c>
      <c r="O312" s="754" t="s">
        <v>4441</v>
      </c>
      <c r="P312" s="150" t="s">
        <v>4442</v>
      </c>
      <c r="Q312" s="150"/>
      <c r="R312" s="98"/>
      <c r="S312" s="146"/>
      <c r="T312" s="284" t="s">
        <v>4443</v>
      </c>
      <c r="U312" s="284" t="s">
        <v>3857</v>
      </c>
      <c r="W312" s="25"/>
      <c r="X312" s="25"/>
      <c r="AA312"/>
      <c r="AB312"/>
      <c r="AC312" s="274"/>
      <c r="AD312" s="40"/>
    </row>
    <row r="313" spans="6:30" ht="10.5" customHeight="1">
      <c r="F313" s="300"/>
      <c r="G313" s="600" t="s">
        <v>3991</v>
      </c>
      <c r="H313" s="600" t="s">
        <v>770</v>
      </c>
      <c r="I313" s="604" t="s">
        <v>3732</v>
      </c>
      <c r="J313" s="604" t="s">
        <v>2726</v>
      </c>
      <c r="K313" s="602" t="s">
        <v>3747</v>
      </c>
      <c r="L313" s="603" t="s">
        <v>3727</v>
      </c>
      <c r="M313" s="1518" t="s">
        <v>3541</v>
      </c>
      <c r="N313" s="603" t="s">
        <v>2731</v>
      </c>
      <c r="O313" s="754" t="s">
        <v>4444</v>
      </c>
      <c r="P313" s="150" t="s">
        <v>4445</v>
      </c>
      <c r="Q313" s="150"/>
      <c r="R313" s="98"/>
      <c r="S313" s="146"/>
      <c r="T313" s="284" t="s">
        <v>4446</v>
      </c>
      <c r="U313" s="284" t="s">
        <v>4333</v>
      </c>
      <c r="W313" s="25"/>
      <c r="X313" s="25"/>
      <c r="AA313"/>
      <c r="AB313"/>
      <c r="AC313" s="274"/>
      <c r="AD313" s="40"/>
    </row>
    <row r="314" spans="6:30" ht="10.5" customHeight="1">
      <c r="F314" s="300"/>
      <c r="G314" s="600" t="s">
        <v>111</v>
      </c>
      <c r="H314" s="600" t="s">
        <v>3703</v>
      </c>
      <c r="I314" s="604" t="s">
        <v>4251</v>
      </c>
      <c r="J314" s="604" t="s">
        <v>3544</v>
      </c>
      <c r="K314" s="602" t="s">
        <v>4447</v>
      </c>
      <c r="L314" s="603" t="s">
        <v>3706</v>
      </c>
      <c r="M314" s="1518" t="s">
        <v>1747</v>
      </c>
      <c r="N314" s="603" t="s">
        <v>2214</v>
      </c>
      <c r="O314" s="754" t="s">
        <v>4448</v>
      </c>
      <c r="P314" s="150" t="s">
        <v>4449</v>
      </c>
      <c r="Q314" s="150"/>
      <c r="R314" s="98"/>
      <c r="S314" s="146"/>
      <c r="T314" s="284" t="s">
        <v>4450</v>
      </c>
      <c r="U314" s="284" t="s">
        <v>3974</v>
      </c>
      <c r="W314" s="25"/>
      <c r="X314" s="25"/>
      <c r="AA314"/>
      <c r="AB314"/>
      <c r="AC314" s="274"/>
      <c r="AD314" s="40"/>
    </row>
    <row r="315" spans="6:30" ht="10.5" customHeight="1">
      <c r="F315" s="300"/>
      <c r="G315" s="600" t="s">
        <v>4201</v>
      </c>
      <c r="H315" s="600" t="s">
        <v>770</v>
      </c>
      <c r="I315" s="604" t="s">
        <v>4261</v>
      </c>
      <c r="J315" s="604" t="s">
        <v>3544</v>
      </c>
      <c r="K315" s="602" t="s">
        <v>4451</v>
      </c>
      <c r="L315" s="603" t="s">
        <v>3706</v>
      </c>
      <c r="M315" s="1518" t="s">
        <v>1747</v>
      </c>
      <c r="N315" s="603" t="s">
        <v>2732</v>
      </c>
      <c r="O315" s="754" t="s">
        <v>4452</v>
      </c>
      <c r="P315" s="150" t="s">
        <v>4453</v>
      </c>
      <c r="Q315" s="150"/>
      <c r="R315" s="98"/>
      <c r="S315" s="146"/>
      <c r="T315" s="284" t="s">
        <v>4454</v>
      </c>
      <c r="U315" s="284" t="s">
        <v>4212</v>
      </c>
      <c r="W315" s="25"/>
      <c r="X315" s="25"/>
      <c r="AA315"/>
      <c r="AB315"/>
      <c r="AC315" s="274"/>
      <c r="AD315" s="40"/>
    </row>
    <row r="316" spans="6:30" ht="10.5" customHeight="1">
      <c r="F316" s="300"/>
      <c r="G316" s="600" t="s">
        <v>2218</v>
      </c>
      <c r="H316" s="600" t="s">
        <v>3703</v>
      </c>
      <c r="I316" s="604" t="s">
        <v>4266</v>
      </c>
      <c r="J316" s="604" t="s">
        <v>3544</v>
      </c>
      <c r="K316" s="602" t="s">
        <v>4455</v>
      </c>
      <c r="L316" s="603" t="s">
        <v>3706</v>
      </c>
      <c r="M316" s="1518" t="s">
        <v>1747</v>
      </c>
      <c r="N316" s="603" t="s">
        <v>2735</v>
      </c>
      <c r="O316" s="754" t="s">
        <v>4456</v>
      </c>
      <c r="P316" s="150" t="s">
        <v>4457</v>
      </c>
      <c r="Q316" s="150"/>
      <c r="R316" s="98"/>
      <c r="S316" s="146"/>
      <c r="T316" s="284" t="s">
        <v>4458</v>
      </c>
      <c r="U316" s="284" t="s">
        <v>119</v>
      </c>
      <c r="W316" s="25"/>
      <c r="X316" s="25"/>
      <c r="AA316"/>
      <c r="AB316"/>
      <c r="AC316" s="274"/>
      <c r="AD316" s="40"/>
    </row>
    <row r="317" spans="6:30" ht="10.5" customHeight="1">
      <c r="F317" s="300"/>
      <c r="G317" s="600" t="s">
        <v>4459</v>
      </c>
      <c r="H317" s="600" t="s">
        <v>3703</v>
      </c>
      <c r="I317" s="604" t="s">
        <v>4270</v>
      </c>
      <c r="J317" s="604" t="s">
        <v>3544</v>
      </c>
      <c r="K317" s="602" t="s">
        <v>4460</v>
      </c>
      <c r="L317" s="603" t="s">
        <v>3706</v>
      </c>
      <c r="M317" s="1518" t="s">
        <v>1747</v>
      </c>
      <c r="N317" s="603" t="s">
        <v>2736</v>
      </c>
      <c r="O317" s="754" t="s">
        <v>4461</v>
      </c>
      <c r="P317" s="150" t="s">
        <v>4462</v>
      </c>
      <c r="Q317" s="150"/>
      <c r="R317" s="98"/>
      <c r="S317" s="146"/>
      <c r="T317" s="284" t="s">
        <v>4463</v>
      </c>
      <c r="U317" s="284" t="s">
        <v>4096</v>
      </c>
      <c r="W317" s="25"/>
      <c r="X317" s="25"/>
      <c r="AA317"/>
      <c r="AB317"/>
      <c r="AC317" s="274"/>
      <c r="AD317" s="40"/>
    </row>
    <row r="318" spans="6:30" ht="10.5" customHeight="1">
      <c r="F318" s="300"/>
      <c r="G318" s="600" t="s">
        <v>4464</v>
      </c>
      <c r="H318" s="600" t="s">
        <v>3703</v>
      </c>
      <c r="I318" s="604" t="s">
        <v>4275</v>
      </c>
      <c r="J318" s="604" t="s">
        <v>3544</v>
      </c>
      <c r="K318" s="602" t="s">
        <v>4465</v>
      </c>
      <c r="L318" s="603" t="s">
        <v>3706</v>
      </c>
      <c r="M318" s="1518" t="s">
        <v>1747</v>
      </c>
      <c r="N318" s="603" t="s">
        <v>2734</v>
      </c>
      <c r="O318" s="754" t="s">
        <v>4466</v>
      </c>
      <c r="P318" s="150" t="s">
        <v>4467</v>
      </c>
      <c r="Q318" s="150"/>
      <c r="R318" s="98"/>
      <c r="S318" s="146"/>
      <c r="T318" s="284" t="s">
        <v>2168</v>
      </c>
      <c r="U318" s="284" t="s">
        <v>4355</v>
      </c>
      <c r="W318" s="25"/>
      <c r="X318" s="25"/>
      <c r="AA318"/>
      <c r="AB318"/>
      <c r="AC318" s="274"/>
      <c r="AD318" s="40"/>
    </row>
    <row r="319" spans="6:30" ht="10.5" customHeight="1">
      <c r="F319" s="300"/>
      <c r="G319" s="600" t="s">
        <v>3754</v>
      </c>
      <c r="H319" s="600" t="s">
        <v>3703</v>
      </c>
      <c r="I319" s="604" t="s">
        <v>4279</v>
      </c>
      <c r="J319" s="604" t="s">
        <v>3544</v>
      </c>
      <c r="K319" s="602" t="s">
        <v>4468</v>
      </c>
      <c r="L319" s="603" t="s">
        <v>3706</v>
      </c>
      <c r="M319" s="1518" t="s">
        <v>1747</v>
      </c>
      <c r="N319" s="603" t="s">
        <v>2735</v>
      </c>
      <c r="O319" s="754" t="s">
        <v>4469</v>
      </c>
      <c r="P319" s="150" t="s">
        <v>4470</v>
      </c>
      <c r="Q319" s="150"/>
      <c r="R319" s="98"/>
      <c r="S319" s="146"/>
      <c r="T319" s="284" t="s">
        <v>4471</v>
      </c>
      <c r="U319" s="284" t="s">
        <v>3976</v>
      </c>
      <c r="W319" s="25"/>
      <c r="X319" s="25"/>
      <c r="AA319"/>
      <c r="AB319"/>
      <c r="AC319" s="274"/>
      <c r="AD319" s="40"/>
    </row>
    <row r="320" spans="6:30" ht="10.5" customHeight="1">
      <c r="F320" s="300"/>
      <c r="G320" s="600" t="s">
        <v>4338</v>
      </c>
      <c r="H320" s="600" t="s">
        <v>770</v>
      </c>
      <c r="I320" s="604" t="s">
        <v>4284</v>
      </c>
      <c r="J320" s="604" t="s">
        <v>3544</v>
      </c>
      <c r="K320" s="602" t="s">
        <v>4472</v>
      </c>
      <c r="L320" s="603" t="s">
        <v>3706</v>
      </c>
      <c r="M320" s="1518" t="s">
        <v>1747</v>
      </c>
      <c r="N320" s="603" t="s">
        <v>2730</v>
      </c>
      <c r="O320" s="754" t="s">
        <v>4473</v>
      </c>
      <c r="P320" s="150" t="s">
        <v>4474</v>
      </c>
      <c r="Q320" s="150"/>
      <c r="R320" s="98"/>
      <c r="S320" s="146"/>
      <c r="T320" s="284" t="s">
        <v>4475</v>
      </c>
      <c r="U320" s="284" t="s">
        <v>2185</v>
      </c>
      <c r="W320" s="25"/>
      <c r="X320" s="25"/>
      <c r="AA320"/>
      <c r="AB320"/>
      <c r="AC320" s="274"/>
      <c r="AD320" s="40"/>
    </row>
    <row r="321" spans="6:30" ht="10.5" customHeight="1">
      <c r="F321" s="300"/>
      <c r="G321" s="600" t="s">
        <v>4355</v>
      </c>
      <c r="H321" s="600" t="s">
        <v>770</v>
      </c>
      <c r="I321" s="601" t="s">
        <v>2168</v>
      </c>
      <c r="J321" s="604" t="s">
        <v>2726</v>
      </c>
      <c r="K321" s="602" t="s">
        <v>4476</v>
      </c>
      <c r="L321" s="603" t="s">
        <v>3727</v>
      </c>
      <c r="M321" s="1518" t="s">
        <v>3541</v>
      </c>
      <c r="N321" s="603" t="s">
        <v>2733</v>
      </c>
      <c r="O321" s="754" t="s">
        <v>4477</v>
      </c>
      <c r="P321" s="150" t="s">
        <v>4478</v>
      </c>
      <c r="Q321" s="150"/>
      <c r="R321" s="98"/>
      <c r="S321" s="146"/>
      <c r="T321" s="146" t="s">
        <v>4479</v>
      </c>
      <c r="U321" s="146" t="s">
        <v>3786</v>
      </c>
      <c r="W321" s="25"/>
      <c r="X321" s="25"/>
      <c r="AA321"/>
      <c r="AB321"/>
      <c r="AC321" s="274"/>
      <c r="AD321" s="40"/>
    </row>
    <row r="322" spans="6:30" ht="10.5" customHeight="1">
      <c r="F322" s="300"/>
      <c r="G322" s="600" t="s">
        <v>3717</v>
      </c>
      <c r="H322" s="600" t="s">
        <v>3703</v>
      </c>
      <c r="I322" s="604" t="s">
        <v>4288</v>
      </c>
      <c r="J322" s="601" t="s">
        <v>3544</v>
      </c>
      <c r="K322" s="602" t="s">
        <v>4480</v>
      </c>
      <c r="L322" s="603" t="s">
        <v>3706</v>
      </c>
      <c r="M322" s="1518" t="s">
        <v>1747</v>
      </c>
      <c r="N322" s="603" t="s">
        <v>2128</v>
      </c>
      <c r="O322" s="754" t="s">
        <v>4481</v>
      </c>
      <c r="P322" s="150" t="s">
        <v>4482</v>
      </c>
      <c r="Q322" s="150"/>
      <c r="R322" s="98"/>
      <c r="S322" s="146"/>
      <c r="T322" s="284" t="s">
        <v>4483</v>
      </c>
      <c r="U322" s="284" t="s">
        <v>4236</v>
      </c>
      <c r="W322" s="25"/>
      <c r="X322" s="25"/>
      <c r="AA322"/>
      <c r="AB322"/>
      <c r="AC322" s="40"/>
      <c r="AD322" s="40"/>
    </row>
    <row r="323" spans="6:30" ht="10.5" customHeight="1">
      <c r="F323" s="300"/>
      <c r="G323" s="600" t="s">
        <v>4484</v>
      </c>
      <c r="H323" s="600" t="s">
        <v>770</v>
      </c>
      <c r="I323" s="604" t="s">
        <v>4292</v>
      </c>
      <c r="J323" s="604" t="s">
        <v>3544</v>
      </c>
      <c r="K323" s="602" t="s">
        <v>4485</v>
      </c>
      <c r="L323" s="603" t="s">
        <v>3706</v>
      </c>
      <c r="M323" s="1518" t="s">
        <v>1747</v>
      </c>
      <c r="N323" s="603" t="s">
        <v>2732</v>
      </c>
      <c r="O323" s="754" t="s">
        <v>4486</v>
      </c>
      <c r="P323" s="150" t="s">
        <v>4487</v>
      </c>
      <c r="Q323" s="150"/>
      <c r="R323" s="98"/>
      <c r="S323" s="146"/>
      <c r="T323" s="284" t="s">
        <v>4488</v>
      </c>
      <c r="U323" s="284" t="s">
        <v>154</v>
      </c>
      <c r="W323" s="25"/>
      <c r="X323" s="25"/>
      <c r="AA323"/>
      <c r="AB323"/>
      <c r="AC323" s="274"/>
      <c r="AD323" s="40"/>
    </row>
    <row r="324" spans="6:30" ht="10.5" customHeight="1">
      <c r="F324" s="300"/>
      <c r="G324" s="600" t="s">
        <v>3786</v>
      </c>
      <c r="H324" s="600" t="s">
        <v>3703</v>
      </c>
      <c r="I324" s="604" t="s">
        <v>4295</v>
      </c>
      <c r="J324" s="604" t="s">
        <v>3544</v>
      </c>
      <c r="K324" s="602" t="s">
        <v>4489</v>
      </c>
      <c r="L324" s="603" t="s">
        <v>3706</v>
      </c>
      <c r="M324" s="1518" t="s">
        <v>1747</v>
      </c>
      <c r="N324" s="603" t="s">
        <v>2735</v>
      </c>
      <c r="O324" s="754" t="s">
        <v>4490</v>
      </c>
      <c r="P324" s="150" t="s">
        <v>4491</v>
      </c>
      <c r="Q324" s="150"/>
      <c r="R324" s="98"/>
      <c r="S324" s="146"/>
      <c r="T324" s="284" t="s">
        <v>4492</v>
      </c>
      <c r="U324" s="284" t="s">
        <v>2218</v>
      </c>
      <c r="W324" s="25"/>
      <c r="X324" s="25"/>
      <c r="AA324"/>
      <c r="AB324"/>
      <c r="AC324" s="274"/>
      <c r="AD324" s="40"/>
    </row>
    <row r="325" spans="6:30" ht="10.5" customHeight="1">
      <c r="F325" s="159"/>
      <c r="G325" s="600" t="s">
        <v>4493</v>
      </c>
      <c r="H325" s="600" t="s">
        <v>3703</v>
      </c>
      <c r="I325" s="604" t="s">
        <v>2128</v>
      </c>
      <c r="J325" s="604" t="s">
        <v>2726</v>
      </c>
      <c r="K325" s="602" t="s">
        <v>3967</v>
      </c>
      <c r="L325" s="603" t="s">
        <v>3727</v>
      </c>
      <c r="M325" s="1518" t="s">
        <v>1747</v>
      </c>
      <c r="N325" s="603" t="s">
        <v>2128</v>
      </c>
      <c r="O325" s="754" t="s">
        <v>4494</v>
      </c>
      <c r="P325" s="150" t="s">
        <v>4495</v>
      </c>
      <c r="Q325" s="150"/>
      <c r="R325" s="98"/>
      <c r="S325" s="146"/>
      <c r="T325" s="284" t="s">
        <v>3940</v>
      </c>
      <c r="U325" s="284" t="s">
        <v>4113</v>
      </c>
      <c r="W325" s="25"/>
      <c r="X325" s="25"/>
      <c r="AA325"/>
      <c r="AB325"/>
      <c r="AC325" s="274"/>
      <c r="AD325" s="40"/>
    </row>
    <row r="326" spans="6:30" ht="10.5" customHeight="1">
      <c r="P326" s="150" t="s">
        <v>4496</v>
      </c>
      <c r="Q326" s="150"/>
      <c r="R326" s="98"/>
      <c r="S326" s="146"/>
      <c r="T326" s="284" t="s">
        <v>4497</v>
      </c>
      <c r="U326" s="284" t="s">
        <v>3940</v>
      </c>
      <c r="W326" s="25"/>
      <c r="X326" s="25"/>
      <c r="AA326"/>
      <c r="AB326"/>
      <c r="AC326" s="274"/>
      <c r="AD326" s="40"/>
    </row>
    <row r="327" spans="6:30" ht="10.5" customHeight="1">
      <c r="P327" s="150" t="s">
        <v>4498</v>
      </c>
      <c r="Q327" s="150"/>
      <c r="R327" s="98"/>
      <c r="S327" s="146"/>
      <c r="T327" s="146" t="s">
        <v>4499</v>
      </c>
      <c r="U327" s="146" t="s">
        <v>3823</v>
      </c>
      <c r="W327" s="25"/>
      <c r="X327" s="25"/>
      <c r="AA327"/>
      <c r="AB327"/>
      <c r="AC327" s="274"/>
      <c r="AD327" s="40"/>
    </row>
    <row r="328" spans="6:30" ht="10.5" customHeight="1">
      <c r="P328" s="150" t="s">
        <v>4500</v>
      </c>
      <c r="Q328" s="150"/>
      <c r="R328" s="98"/>
      <c r="S328" s="146"/>
      <c r="T328" s="284" t="s">
        <v>4501</v>
      </c>
      <c r="U328" s="284" t="s">
        <v>4231</v>
      </c>
      <c r="W328" s="25"/>
      <c r="X328" s="25"/>
      <c r="AA328"/>
      <c r="AB328"/>
      <c r="AC328" s="40"/>
      <c r="AD328" s="40"/>
    </row>
    <row r="329" spans="6:30" ht="10.5" customHeight="1">
      <c r="P329" s="150" t="s">
        <v>4502</v>
      </c>
      <c r="Q329" s="150"/>
      <c r="R329" s="98"/>
      <c r="S329" s="146"/>
      <c r="T329" s="284" t="s">
        <v>3888</v>
      </c>
      <c r="U329" s="284" t="s">
        <v>98</v>
      </c>
      <c r="W329" s="25"/>
      <c r="X329" s="25"/>
      <c r="AA329"/>
      <c r="AB329"/>
      <c r="AC329" s="274"/>
      <c r="AD329" s="40"/>
    </row>
    <row r="330" spans="6:30" ht="10.5" customHeight="1">
      <c r="P330" s="150" t="s">
        <v>4503</v>
      </c>
      <c r="Q330" s="150"/>
      <c r="R330" s="98"/>
      <c r="S330" s="146"/>
      <c r="T330" s="284" t="s">
        <v>110</v>
      </c>
      <c r="U330" s="284" t="s">
        <v>111</v>
      </c>
      <c r="W330" s="25"/>
      <c r="X330" s="25"/>
      <c r="AA330"/>
      <c r="AB330"/>
      <c r="AC330" s="274"/>
      <c r="AD330" s="40"/>
    </row>
    <row r="331" spans="6:30" ht="10.5" customHeight="1">
      <c r="P331" s="150" t="s">
        <v>4504</v>
      </c>
      <c r="Q331" s="150"/>
      <c r="R331" s="98"/>
      <c r="S331" s="146"/>
      <c r="T331" s="284" t="s">
        <v>4505</v>
      </c>
      <c r="U331" s="284" t="s">
        <v>2218</v>
      </c>
      <c r="W331" s="25"/>
      <c r="X331" s="25"/>
      <c r="AA331"/>
      <c r="AB331"/>
      <c r="AC331" s="274"/>
      <c r="AD331" s="40"/>
    </row>
    <row r="332" spans="6:30" ht="10.5" customHeight="1">
      <c r="P332" s="150" t="s">
        <v>4506</v>
      </c>
      <c r="Q332" s="150"/>
      <c r="R332" s="98"/>
      <c r="S332" s="146"/>
      <c r="T332" s="284" t="s">
        <v>4507</v>
      </c>
      <c r="U332" s="284" t="s">
        <v>166</v>
      </c>
      <c r="W332" s="25"/>
      <c r="X332" s="25"/>
      <c r="AA332"/>
      <c r="AB332"/>
      <c r="AC332" s="274"/>
      <c r="AD332" s="40"/>
    </row>
    <row r="333" spans="6:30" ht="10.5" customHeight="1">
      <c r="P333" s="150" t="s">
        <v>4508</v>
      </c>
      <c r="Q333" s="150"/>
      <c r="R333" s="98"/>
      <c r="S333" s="146"/>
      <c r="T333" s="284" t="s">
        <v>4509</v>
      </c>
      <c r="U333" s="284" t="s">
        <v>4141</v>
      </c>
      <c r="W333" s="25"/>
      <c r="X333" s="25"/>
      <c r="AA333"/>
      <c r="AB333"/>
      <c r="AC333" s="274"/>
      <c r="AD333" s="40"/>
    </row>
    <row r="334" spans="6:30" ht="10.5" customHeight="1">
      <c r="P334" s="150" t="s">
        <v>4510</v>
      </c>
      <c r="Q334" s="150"/>
      <c r="R334" s="98"/>
      <c r="S334" s="146"/>
      <c r="T334" s="146" t="s">
        <v>4511</v>
      </c>
      <c r="U334" s="146" t="s">
        <v>3993</v>
      </c>
      <c r="W334" s="25"/>
      <c r="X334" s="25"/>
      <c r="AA334"/>
      <c r="AB334"/>
      <c r="AC334" s="274"/>
      <c r="AD334" s="40"/>
    </row>
    <row r="335" spans="6:30" ht="10.5" customHeight="1">
      <c r="P335" s="150" t="s">
        <v>4512</v>
      </c>
      <c r="Q335" s="150"/>
      <c r="R335" s="98"/>
      <c r="S335" s="146"/>
      <c r="T335" s="284" t="s">
        <v>4513</v>
      </c>
      <c r="U335" s="284" t="s">
        <v>4179</v>
      </c>
      <c r="W335" s="25"/>
      <c r="X335" s="25"/>
      <c r="AA335"/>
      <c r="AB335"/>
      <c r="AC335" s="40"/>
      <c r="AD335" s="40"/>
    </row>
    <row r="336" spans="6:30" ht="10.5" customHeight="1">
      <c r="P336" s="150" t="s">
        <v>4514</v>
      </c>
      <c r="Q336" s="150"/>
      <c r="R336" s="98"/>
      <c r="S336" s="146"/>
      <c r="T336" s="284" t="s">
        <v>4515</v>
      </c>
      <c r="U336" s="284" t="s">
        <v>4328</v>
      </c>
      <c r="W336" s="25"/>
      <c r="X336" s="25"/>
      <c r="AA336"/>
      <c r="AB336"/>
      <c r="AC336" s="274"/>
      <c r="AD336" s="40"/>
    </row>
    <row r="337" spans="16:30" ht="10.5" customHeight="1">
      <c r="P337" s="150" t="s">
        <v>4516</v>
      </c>
      <c r="Q337" s="150"/>
      <c r="R337" s="98"/>
      <c r="S337" s="146"/>
      <c r="T337" s="284" t="s">
        <v>112</v>
      </c>
      <c r="U337" s="284" t="s">
        <v>113</v>
      </c>
      <c r="W337" s="25"/>
      <c r="X337" s="25"/>
      <c r="AA337"/>
      <c r="AB337"/>
      <c r="AC337" s="274"/>
      <c r="AD337" s="40"/>
    </row>
    <row r="338" spans="16:30" ht="10.5" customHeight="1">
      <c r="P338" s="150" t="s">
        <v>4517</v>
      </c>
      <c r="Q338" s="150"/>
      <c r="R338" s="98"/>
      <c r="S338" s="146"/>
      <c r="T338" s="318" t="s">
        <v>4518</v>
      </c>
      <c r="U338" s="284" t="s">
        <v>3904</v>
      </c>
      <c r="W338" s="25"/>
      <c r="X338" s="25"/>
      <c r="AA338"/>
      <c r="AB338"/>
      <c r="AC338" s="274"/>
      <c r="AD338" s="40"/>
    </row>
    <row r="339" spans="16:30" ht="10.5" customHeight="1">
      <c r="P339" s="150" t="s">
        <v>4519</v>
      </c>
      <c r="Q339" s="150"/>
      <c r="R339" s="98"/>
      <c r="S339" s="146"/>
      <c r="T339" s="284" t="s">
        <v>4520</v>
      </c>
      <c r="U339" s="284" t="s">
        <v>4359</v>
      </c>
      <c r="W339" s="25"/>
      <c r="X339" s="25"/>
      <c r="AA339"/>
      <c r="AB339"/>
      <c r="AC339" s="538"/>
      <c r="AD339" s="40"/>
    </row>
    <row r="340" spans="16:30" ht="10.5" customHeight="1">
      <c r="P340" s="150" t="s">
        <v>4521</v>
      </c>
      <c r="Q340" s="150"/>
      <c r="R340" s="98"/>
      <c r="S340" s="146"/>
      <c r="T340" s="284" t="s">
        <v>4522</v>
      </c>
      <c r="U340" s="284" t="s">
        <v>3961</v>
      </c>
      <c r="W340" s="25"/>
      <c r="X340" s="25"/>
      <c r="AA340"/>
      <c r="AB340"/>
      <c r="AC340" s="274"/>
      <c r="AD340" s="40"/>
    </row>
    <row r="341" spans="16:30" ht="10.5" customHeight="1">
      <c r="P341" s="150" t="s">
        <v>4523</v>
      </c>
      <c r="Q341" s="150"/>
      <c r="R341" s="98"/>
      <c r="S341" s="146"/>
      <c r="T341" s="284" t="s">
        <v>4524</v>
      </c>
      <c r="U341" s="284" t="s">
        <v>98</v>
      </c>
      <c r="W341" s="25"/>
      <c r="X341" s="25"/>
      <c r="AA341"/>
      <c r="AB341"/>
      <c r="AC341" s="274"/>
      <c r="AD341" s="40"/>
    </row>
    <row r="342" spans="16:30" ht="10.5" customHeight="1">
      <c r="P342" s="150" t="s">
        <v>4525</v>
      </c>
      <c r="Q342" s="150"/>
      <c r="R342" s="98"/>
      <c r="S342" s="146"/>
      <c r="T342" s="146" t="s">
        <v>148</v>
      </c>
      <c r="U342" s="146" t="s">
        <v>3816</v>
      </c>
      <c r="W342" s="25"/>
      <c r="X342" s="25"/>
      <c r="AA342"/>
      <c r="AB342"/>
      <c r="AC342" s="274"/>
      <c r="AD342" s="40"/>
    </row>
    <row r="343" spans="16:30" ht="10.5" customHeight="1">
      <c r="P343" s="150" t="s">
        <v>4526</v>
      </c>
      <c r="Q343" s="150"/>
      <c r="R343" s="98"/>
      <c r="S343" s="146"/>
      <c r="T343" s="146" t="s">
        <v>4527</v>
      </c>
      <c r="U343" s="146" t="s">
        <v>148</v>
      </c>
      <c r="W343" s="25"/>
      <c r="X343" s="25"/>
      <c r="AA343"/>
      <c r="AB343"/>
      <c r="AC343" s="40"/>
      <c r="AD343" s="40"/>
    </row>
    <row r="344" spans="16:30" ht="10.5" customHeight="1">
      <c r="P344" s="150" t="s">
        <v>4528</v>
      </c>
      <c r="Q344" s="150"/>
      <c r="R344" s="98"/>
      <c r="S344" s="146"/>
      <c r="T344" s="284" t="s">
        <v>114</v>
      </c>
      <c r="U344" s="284" t="s">
        <v>98</v>
      </c>
      <c r="W344" s="25"/>
      <c r="X344" s="25"/>
      <c r="AA344"/>
      <c r="AB344"/>
      <c r="AC344" s="40"/>
      <c r="AD344" s="40"/>
    </row>
    <row r="345" spans="16:30" ht="10.5" customHeight="1">
      <c r="P345" s="150" t="s">
        <v>4529</v>
      </c>
      <c r="Q345" s="150"/>
      <c r="R345" s="98"/>
      <c r="S345" s="146"/>
      <c r="T345" s="284" t="s">
        <v>4530</v>
      </c>
      <c r="U345" s="284" t="s">
        <v>3856</v>
      </c>
      <c r="W345" s="25"/>
      <c r="X345" s="25"/>
      <c r="AA345"/>
      <c r="AB345"/>
      <c r="AC345" s="274"/>
      <c r="AD345" s="40"/>
    </row>
    <row r="346" spans="16:30" ht="10.5" customHeight="1">
      <c r="P346" s="150" t="s">
        <v>4531</v>
      </c>
      <c r="Q346" s="150"/>
      <c r="R346" s="98"/>
      <c r="S346" s="146"/>
      <c r="T346" s="284" t="s">
        <v>2172</v>
      </c>
      <c r="U346" s="284" t="s">
        <v>4179</v>
      </c>
      <c r="W346" s="25"/>
      <c r="X346" s="25"/>
      <c r="AA346"/>
      <c r="AB346"/>
      <c r="AC346" s="274"/>
      <c r="AD346" s="40"/>
    </row>
    <row r="347" spans="16:30" ht="10.5" customHeight="1">
      <c r="P347" s="150" t="s">
        <v>4532</v>
      </c>
      <c r="Q347" s="150"/>
      <c r="R347" s="98"/>
      <c r="S347" s="146"/>
      <c r="T347" s="284" t="s">
        <v>4533</v>
      </c>
      <c r="U347" s="284" t="s">
        <v>4179</v>
      </c>
      <c r="W347" s="25"/>
      <c r="X347" s="25"/>
      <c r="AA347"/>
      <c r="AB347"/>
      <c r="AC347" s="274"/>
      <c r="AD347" s="40"/>
    </row>
    <row r="348" spans="16:30" ht="10.5" customHeight="1">
      <c r="P348" s="150" t="s">
        <v>4534</v>
      </c>
      <c r="Q348" s="150"/>
      <c r="R348" s="98"/>
      <c r="S348" s="146"/>
      <c r="T348" s="284" t="s">
        <v>4535</v>
      </c>
      <c r="U348" s="284" t="s">
        <v>3974</v>
      </c>
      <c r="W348" s="25"/>
      <c r="X348" s="25"/>
      <c r="AA348"/>
      <c r="AB348"/>
      <c r="AC348" s="274"/>
      <c r="AD348" s="40"/>
    </row>
    <row r="349" spans="16:30" ht="10.5" customHeight="1">
      <c r="P349" s="150" t="s">
        <v>4536</v>
      </c>
      <c r="Q349" s="150"/>
      <c r="R349" s="98"/>
      <c r="S349" s="146"/>
      <c r="T349" s="284" t="s">
        <v>4537</v>
      </c>
      <c r="U349" s="284" t="s">
        <v>98</v>
      </c>
      <c r="W349" s="25"/>
      <c r="X349" s="25"/>
      <c r="AA349"/>
      <c r="AB349"/>
      <c r="AC349" s="274"/>
      <c r="AD349" s="40"/>
    </row>
    <row r="350" spans="16:30" ht="10.5" customHeight="1">
      <c r="P350" s="150" t="s">
        <v>4538</v>
      </c>
      <c r="Q350" s="150"/>
      <c r="R350" s="98"/>
      <c r="S350" s="146"/>
      <c r="T350" s="284" t="s">
        <v>4539</v>
      </c>
      <c r="U350" s="284" t="s">
        <v>140</v>
      </c>
      <c r="W350" s="25"/>
      <c r="X350" s="25"/>
      <c r="AA350"/>
      <c r="AB350"/>
      <c r="AC350" s="274"/>
      <c r="AD350" s="40"/>
    </row>
    <row r="351" spans="16:30" ht="10.5" customHeight="1">
      <c r="P351" s="150" t="s">
        <v>4540</v>
      </c>
      <c r="Q351" s="150"/>
      <c r="R351" s="98"/>
      <c r="S351" s="146"/>
      <c r="T351" s="284" t="s">
        <v>4541</v>
      </c>
      <c r="U351" s="284" t="s">
        <v>169</v>
      </c>
      <c r="W351" s="25"/>
      <c r="X351" s="25"/>
      <c r="AA351"/>
      <c r="AB351"/>
      <c r="AC351" s="274"/>
      <c r="AD351" s="40"/>
    </row>
    <row r="352" spans="16:30" ht="10.5" customHeight="1">
      <c r="P352" s="150" t="s">
        <v>4542</v>
      </c>
      <c r="Q352" s="150"/>
      <c r="R352" s="98"/>
      <c r="S352" s="146"/>
      <c r="T352" s="284" t="s">
        <v>4543</v>
      </c>
      <c r="U352" s="284" t="s">
        <v>4179</v>
      </c>
      <c r="W352" s="25"/>
      <c r="X352" s="25"/>
      <c r="AA352"/>
      <c r="AB352"/>
      <c r="AC352" s="274"/>
      <c r="AD352" s="40"/>
    </row>
    <row r="353" spans="16:30" ht="10.5" customHeight="1">
      <c r="P353" s="150" t="s">
        <v>4544</v>
      </c>
      <c r="Q353" s="150"/>
      <c r="R353" s="98"/>
      <c r="S353" s="146"/>
      <c r="T353" s="284" t="s">
        <v>4545</v>
      </c>
      <c r="U353" s="284" t="s">
        <v>4042</v>
      </c>
      <c r="W353" s="25"/>
      <c r="X353" s="25"/>
      <c r="AA353"/>
      <c r="AB353"/>
      <c r="AC353" s="274"/>
      <c r="AD353" s="40"/>
    </row>
    <row r="354" spans="16:30" ht="10.5" customHeight="1">
      <c r="P354" s="150" t="s">
        <v>4546</v>
      </c>
      <c r="Q354" s="150"/>
      <c r="R354" s="98"/>
      <c r="S354" s="146"/>
      <c r="T354" s="284" t="s">
        <v>115</v>
      </c>
      <c r="U354" s="284" t="s">
        <v>116</v>
      </c>
      <c r="W354" s="25"/>
      <c r="X354" s="25"/>
      <c r="AA354"/>
      <c r="AB354"/>
      <c r="AC354" s="274"/>
      <c r="AD354" s="40"/>
    </row>
    <row r="355" spans="16:30" ht="10.5" customHeight="1">
      <c r="P355" s="150" t="s">
        <v>4547</v>
      </c>
      <c r="Q355" s="150"/>
      <c r="R355" s="98"/>
      <c r="S355" s="146"/>
      <c r="T355" s="284" t="s">
        <v>117</v>
      </c>
      <c r="U355" s="284" t="s">
        <v>118</v>
      </c>
      <c r="W355" s="25"/>
      <c r="X355" s="25"/>
      <c r="AA355"/>
      <c r="AB355"/>
      <c r="AC355" s="274"/>
      <c r="AD355" s="40"/>
    </row>
    <row r="356" spans="16:30" ht="10.5" customHeight="1">
      <c r="P356" s="150" t="s">
        <v>4548</v>
      </c>
      <c r="Q356" s="150"/>
      <c r="R356" s="98"/>
      <c r="S356" s="146"/>
      <c r="T356" s="284" t="s">
        <v>4549</v>
      </c>
      <c r="U356" s="284" t="s">
        <v>156</v>
      </c>
      <c r="W356" s="25"/>
      <c r="X356" s="25"/>
      <c r="AA356"/>
      <c r="AB356"/>
      <c r="AC356" s="274"/>
      <c r="AD356" s="40"/>
    </row>
    <row r="357" spans="16:30" ht="10.5" customHeight="1">
      <c r="P357" s="150" t="s">
        <v>4550</v>
      </c>
      <c r="Q357" s="150"/>
      <c r="R357" s="98"/>
      <c r="S357" s="146"/>
      <c r="T357" s="284" t="s">
        <v>4551</v>
      </c>
      <c r="U357" s="284" t="s">
        <v>3955</v>
      </c>
      <c r="W357" s="25"/>
      <c r="X357" s="25"/>
      <c r="AA357"/>
      <c r="AB357"/>
      <c r="AC357" s="274"/>
      <c r="AD357" s="40"/>
    </row>
    <row r="358" spans="16:30" ht="10.5" customHeight="1">
      <c r="P358" s="150" t="s">
        <v>4552</v>
      </c>
      <c r="Q358" s="150"/>
      <c r="R358" s="98"/>
      <c r="S358" s="146"/>
      <c r="T358" s="146" t="s">
        <v>4553</v>
      </c>
      <c r="U358" s="146" t="s">
        <v>4320</v>
      </c>
      <c r="W358" s="25"/>
      <c r="X358" s="25"/>
      <c r="AA358"/>
      <c r="AB358"/>
      <c r="AC358" s="274"/>
      <c r="AD358" s="40"/>
    </row>
    <row r="359" spans="16:30" ht="10.5" customHeight="1">
      <c r="P359" s="150" t="s">
        <v>4554</v>
      </c>
      <c r="Q359" s="150"/>
      <c r="R359" s="98"/>
      <c r="S359" s="146"/>
      <c r="T359" s="146" t="s">
        <v>4555</v>
      </c>
      <c r="U359" s="146" t="s">
        <v>4048</v>
      </c>
      <c r="W359" s="25"/>
      <c r="X359" s="25"/>
      <c r="AA359"/>
      <c r="AB359"/>
      <c r="AC359" s="40"/>
      <c r="AD359" s="40"/>
    </row>
    <row r="360" spans="16:30" ht="10.5" customHeight="1">
      <c r="P360" s="150" t="s">
        <v>4556</v>
      </c>
      <c r="Q360" s="150"/>
      <c r="R360" s="98"/>
      <c r="S360" s="146"/>
      <c r="T360" s="146" t="s">
        <v>4557</v>
      </c>
      <c r="U360" s="146" t="s">
        <v>3818</v>
      </c>
      <c r="W360" s="25"/>
      <c r="X360" s="25"/>
      <c r="AA360"/>
      <c r="AB360"/>
      <c r="AC360" s="40"/>
      <c r="AD360" s="40"/>
    </row>
    <row r="361" spans="16:30" ht="10.5" customHeight="1">
      <c r="P361" s="150" t="s">
        <v>4558</v>
      </c>
      <c r="Q361" s="150"/>
      <c r="R361" s="98"/>
      <c r="S361" s="146"/>
      <c r="T361" s="284" t="s">
        <v>4559</v>
      </c>
      <c r="U361" s="284" t="s">
        <v>3993</v>
      </c>
      <c r="W361" s="25"/>
      <c r="X361" s="25"/>
      <c r="AA361"/>
      <c r="AB361"/>
      <c r="AC361" s="40"/>
      <c r="AD361" s="40"/>
    </row>
    <row r="362" spans="16:30" ht="10.5" customHeight="1">
      <c r="P362" s="150" t="s">
        <v>4560</v>
      </c>
      <c r="Q362" s="150"/>
      <c r="R362" s="98"/>
      <c r="S362" s="146"/>
      <c r="T362" s="284" t="s">
        <v>4561</v>
      </c>
      <c r="U362" s="284" t="s">
        <v>4346</v>
      </c>
      <c r="W362" s="25"/>
      <c r="X362" s="25"/>
      <c r="AA362"/>
      <c r="AB362"/>
      <c r="AC362" s="274"/>
      <c r="AD362" s="40"/>
    </row>
    <row r="363" spans="16:30" ht="10.5" customHeight="1">
      <c r="P363" s="150" t="s">
        <v>4562</v>
      </c>
      <c r="Q363" s="150"/>
      <c r="R363" s="98"/>
      <c r="S363" s="146"/>
      <c r="T363" s="146" t="s">
        <v>4563</v>
      </c>
      <c r="U363" s="146" t="s">
        <v>3904</v>
      </c>
      <c r="W363" s="25"/>
      <c r="X363" s="25"/>
      <c r="AA363"/>
      <c r="AB363"/>
      <c r="AC363" s="274"/>
      <c r="AD363" s="40"/>
    </row>
    <row r="364" spans="16:30" ht="10.5" customHeight="1">
      <c r="P364" s="150" t="s">
        <v>4564</v>
      </c>
      <c r="Q364" s="150"/>
      <c r="R364" s="98"/>
      <c r="S364" s="146"/>
      <c r="T364" s="146" t="s">
        <v>4565</v>
      </c>
      <c r="U364" s="146" t="s">
        <v>103</v>
      </c>
      <c r="W364" s="25"/>
      <c r="X364" s="25"/>
      <c r="AA364"/>
      <c r="AB364"/>
      <c r="AC364" s="40"/>
      <c r="AD364" s="40"/>
    </row>
    <row r="365" spans="16:30" ht="10.5" customHeight="1">
      <c r="P365" s="150" t="s">
        <v>4566</v>
      </c>
      <c r="Q365" s="150"/>
      <c r="R365" s="98"/>
      <c r="S365" s="146"/>
      <c r="T365" s="284" t="s">
        <v>4567</v>
      </c>
      <c r="U365" s="284" t="s">
        <v>4042</v>
      </c>
      <c r="W365" s="25"/>
      <c r="X365" s="25"/>
      <c r="AA365"/>
      <c r="AB365"/>
      <c r="AC365" s="274"/>
      <c r="AD365" s="40"/>
    </row>
    <row r="366" spans="16:30" ht="10.5" customHeight="1">
      <c r="P366" s="150" t="s">
        <v>4568</v>
      </c>
      <c r="Q366" s="150"/>
      <c r="R366" s="98"/>
      <c r="S366" s="146"/>
      <c r="T366" s="284" t="s">
        <v>4569</v>
      </c>
      <c r="U366" s="284" t="s">
        <v>3731</v>
      </c>
      <c r="W366" s="25"/>
      <c r="X366" s="25"/>
      <c r="AA366"/>
      <c r="AB366"/>
      <c r="AC366" s="274"/>
      <c r="AD366" s="40"/>
    </row>
    <row r="367" spans="16:30" ht="10.5" customHeight="1">
      <c r="P367" s="150" t="s">
        <v>4570</v>
      </c>
      <c r="Q367" s="150"/>
      <c r="R367" s="98"/>
      <c r="S367" s="146"/>
      <c r="T367" s="284" t="s">
        <v>4571</v>
      </c>
      <c r="U367" s="284" t="s">
        <v>3955</v>
      </c>
      <c r="W367" s="25"/>
      <c r="X367" s="25"/>
      <c r="AA367"/>
      <c r="AB367"/>
      <c r="AC367" s="274"/>
      <c r="AD367" s="40"/>
    </row>
    <row r="368" spans="16:30" ht="10.5" customHeight="1">
      <c r="P368" s="150" t="s">
        <v>4572</v>
      </c>
      <c r="Q368" s="150"/>
      <c r="R368" s="98"/>
      <c r="S368" s="146"/>
      <c r="T368" s="284" t="s">
        <v>4573</v>
      </c>
      <c r="U368" s="284" t="s">
        <v>3761</v>
      </c>
      <c r="W368" s="25"/>
      <c r="X368" s="25"/>
      <c r="AA368"/>
      <c r="AB368"/>
      <c r="AC368" s="274"/>
      <c r="AD368" s="40"/>
    </row>
    <row r="369" spans="16:30" ht="10.5" customHeight="1">
      <c r="P369" s="150" t="s">
        <v>4574</v>
      </c>
      <c r="Q369" s="150"/>
      <c r="R369" s="98"/>
      <c r="S369" s="146"/>
      <c r="T369" s="284" t="s">
        <v>4575</v>
      </c>
      <c r="U369" s="284" t="s">
        <v>4115</v>
      </c>
      <c r="W369" s="25"/>
      <c r="X369" s="25"/>
      <c r="AA369"/>
      <c r="AB369"/>
      <c r="AC369" s="274"/>
      <c r="AD369" s="40"/>
    </row>
    <row r="370" spans="16:30" ht="10.5" customHeight="1">
      <c r="P370" s="150" t="s">
        <v>4576</v>
      </c>
      <c r="Q370" s="150"/>
      <c r="R370" s="98"/>
      <c r="S370" s="146"/>
      <c r="T370" s="284" t="s">
        <v>4577</v>
      </c>
      <c r="U370" s="284" t="s">
        <v>4013</v>
      </c>
      <c r="W370" s="25"/>
      <c r="X370" s="25"/>
      <c r="AA370"/>
      <c r="AB370"/>
      <c r="AC370" s="274"/>
      <c r="AD370" s="40"/>
    </row>
    <row r="371" spans="16:30" ht="10.5" customHeight="1">
      <c r="P371" s="150" t="s">
        <v>4578</v>
      </c>
      <c r="Q371" s="150"/>
      <c r="R371" s="98"/>
      <c r="S371" s="146"/>
      <c r="T371" s="284" t="s">
        <v>4579</v>
      </c>
      <c r="U371" s="284" t="s">
        <v>4271</v>
      </c>
      <c r="W371" s="25"/>
      <c r="X371" s="25"/>
      <c r="AA371"/>
      <c r="AB371"/>
      <c r="AC371" s="274"/>
      <c r="AD371" s="40"/>
    </row>
    <row r="372" spans="16:30" ht="10.5" customHeight="1">
      <c r="P372" s="150" t="s">
        <v>4580</v>
      </c>
      <c r="Q372" s="150"/>
      <c r="R372" s="98"/>
      <c r="S372" s="146"/>
      <c r="T372" s="284" t="s">
        <v>4581</v>
      </c>
      <c r="U372" s="284" t="s">
        <v>3731</v>
      </c>
      <c r="W372" s="25"/>
      <c r="X372" s="25"/>
      <c r="AA372"/>
      <c r="AB372"/>
      <c r="AC372" s="274"/>
      <c r="AD372" s="40"/>
    </row>
    <row r="373" spans="16:30" ht="10.5" customHeight="1">
      <c r="P373" s="150" t="s">
        <v>4582</v>
      </c>
      <c r="Q373" s="150"/>
      <c r="R373" s="98"/>
      <c r="S373" s="146"/>
      <c r="T373" s="284" t="s">
        <v>119</v>
      </c>
      <c r="U373" s="284" t="s">
        <v>120</v>
      </c>
      <c r="W373" s="25"/>
      <c r="X373" s="25"/>
      <c r="AA373"/>
      <c r="AB373"/>
      <c r="AC373" s="274"/>
      <c r="AD373" s="40"/>
    </row>
    <row r="374" spans="16:30" ht="10.5" customHeight="1">
      <c r="P374" s="150" t="s">
        <v>4583</v>
      </c>
      <c r="Q374" s="150"/>
      <c r="R374" s="98"/>
      <c r="S374" s="146"/>
      <c r="T374" s="284" t="s">
        <v>121</v>
      </c>
      <c r="U374" s="284" t="s">
        <v>116</v>
      </c>
      <c r="W374" s="25"/>
      <c r="X374" s="25"/>
      <c r="AA374"/>
      <c r="AB374"/>
      <c r="AC374" s="274"/>
      <c r="AD374" s="40"/>
    </row>
    <row r="375" spans="16:30" ht="10.5" customHeight="1">
      <c r="P375" s="150" t="s">
        <v>4584</v>
      </c>
      <c r="Q375" s="150"/>
      <c r="R375" s="98"/>
      <c r="S375" s="146"/>
      <c r="T375" s="284" t="s">
        <v>122</v>
      </c>
      <c r="U375" s="284" t="s">
        <v>123</v>
      </c>
      <c r="W375" s="25"/>
      <c r="X375" s="25"/>
      <c r="AA375"/>
      <c r="AB375"/>
      <c r="AC375" s="274"/>
      <c r="AD375" s="40"/>
    </row>
    <row r="376" spans="16:30" ht="10.5" customHeight="1">
      <c r="P376" s="150" t="s">
        <v>4585</v>
      </c>
      <c r="Q376" s="150"/>
      <c r="R376" s="98"/>
      <c r="S376" s="146"/>
      <c r="T376" s="146" t="s">
        <v>2175</v>
      </c>
      <c r="U376" s="146" t="s">
        <v>156</v>
      </c>
      <c r="W376" s="25"/>
      <c r="X376" s="25"/>
      <c r="AA376"/>
      <c r="AB376"/>
      <c r="AC376" s="40"/>
      <c r="AD376" s="40"/>
    </row>
    <row r="377" spans="16:30" ht="10.5" customHeight="1">
      <c r="P377" s="150" t="s">
        <v>4586</v>
      </c>
      <c r="Q377" s="150"/>
      <c r="R377" s="98"/>
      <c r="S377" s="146"/>
      <c r="T377" s="284" t="s">
        <v>4587</v>
      </c>
      <c r="U377" s="284" t="s">
        <v>4057</v>
      </c>
      <c r="W377" s="25"/>
      <c r="X377" s="25"/>
      <c r="AA377"/>
      <c r="AB377"/>
      <c r="AC377" s="274"/>
      <c r="AD377" s="40"/>
    </row>
    <row r="378" spans="16:30" ht="10.5" customHeight="1">
      <c r="P378" s="150" t="s">
        <v>4588</v>
      </c>
      <c r="Q378" s="150"/>
      <c r="R378" s="98"/>
      <c r="S378" s="146"/>
      <c r="T378" s="284" t="s">
        <v>124</v>
      </c>
      <c r="U378" s="284" t="s">
        <v>106</v>
      </c>
      <c r="W378" s="25"/>
      <c r="X378" s="25"/>
      <c r="AA378"/>
      <c r="AB378"/>
      <c r="AC378" s="274"/>
      <c r="AD378" s="40"/>
    </row>
    <row r="379" spans="16:30" ht="10.5" customHeight="1">
      <c r="P379" s="150" t="s">
        <v>4589</v>
      </c>
      <c r="Q379" s="150"/>
      <c r="R379" s="98"/>
      <c r="S379" s="146"/>
      <c r="T379" s="284" t="s">
        <v>4590</v>
      </c>
      <c r="U379" s="284" t="s">
        <v>3856</v>
      </c>
      <c r="W379" s="25"/>
      <c r="X379" s="25"/>
      <c r="AA379"/>
      <c r="AB379"/>
      <c r="AC379" s="274"/>
      <c r="AD379" s="40"/>
    </row>
    <row r="380" spans="16:30" ht="10.5" customHeight="1">
      <c r="P380" s="150" t="s">
        <v>4591</v>
      </c>
      <c r="Q380" s="150"/>
      <c r="R380" s="98"/>
      <c r="S380" s="146"/>
      <c r="T380" s="284" t="s">
        <v>4592</v>
      </c>
      <c r="U380" s="284" t="s">
        <v>4018</v>
      </c>
      <c r="W380" s="25"/>
      <c r="X380" s="25"/>
      <c r="AA380"/>
      <c r="AB380"/>
      <c r="AC380" s="274"/>
      <c r="AD380" s="40"/>
    </row>
    <row r="381" spans="16:30" ht="10.5" customHeight="1">
      <c r="P381" s="150" t="s">
        <v>4593</v>
      </c>
      <c r="Q381" s="150"/>
      <c r="R381" s="98"/>
      <c r="S381" s="146"/>
      <c r="T381" s="284" t="s">
        <v>4594</v>
      </c>
      <c r="U381" s="284" t="s">
        <v>3755</v>
      </c>
      <c r="W381" s="25"/>
      <c r="X381" s="25"/>
      <c r="AA381"/>
      <c r="AB381"/>
      <c r="AC381" s="274"/>
      <c r="AD381" s="40"/>
    </row>
    <row r="382" spans="16:30" ht="10.5" customHeight="1">
      <c r="P382" s="150" t="s">
        <v>4595</v>
      </c>
      <c r="Q382" s="150"/>
      <c r="R382" s="98"/>
      <c r="S382" s="146"/>
      <c r="T382" s="284" t="s">
        <v>4596</v>
      </c>
      <c r="U382" s="284" t="s">
        <v>126</v>
      </c>
      <c r="W382" s="25"/>
      <c r="X382" s="25"/>
      <c r="AA382"/>
      <c r="AB382"/>
      <c r="AC382" s="274"/>
      <c r="AD382" s="40"/>
    </row>
    <row r="383" spans="16:30" ht="10.5" customHeight="1">
      <c r="P383" s="150" t="s">
        <v>4597</v>
      </c>
      <c r="Q383" s="150"/>
      <c r="R383" s="98"/>
      <c r="S383" s="146"/>
      <c r="T383" s="284" t="s">
        <v>4598</v>
      </c>
      <c r="U383" s="284" t="s">
        <v>3811</v>
      </c>
      <c r="W383" s="25"/>
      <c r="X383" s="25"/>
      <c r="AA383"/>
      <c r="AB383"/>
      <c r="AC383" s="274"/>
      <c r="AD383" s="40"/>
    </row>
    <row r="384" spans="16:30" ht="10.5" customHeight="1">
      <c r="P384" s="150" t="s">
        <v>4599</v>
      </c>
      <c r="Q384" s="150"/>
      <c r="R384" s="98"/>
      <c r="S384" s="146"/>
      <c r="T384" s="284" t="s">
        <v>4600</v>
      </c>
      <c r="U384" s="284" t="s">
        <v>4085</v>
      </c>
      <c r="W384" s="25"/>
      <c r="X384" s="25"/>
      <c r="AA384"/>
      <c r="AB384"/>
      <c r="AC384" s="274"/>
      <c r="AD384" s="40"/>
    </row>
    <row r="385" spans="16:30" ht="10.5" customHeight="1">
      <c r="P385" s="150" t="s">
        <v>4601</v>
      </c>
      <c r="Q385" s="150"/>
      <c r="R385" s="98"/>
      <c r="S385" s="146"/>
      <c r="T385" s="284" t="s">
        <v>4602</v>
      </c>
      <c r="U385" s="284" t="s">
        <v>3846</v>
      </c>
      <c r="W385" s="25"/>
      <c r="X385" s="25"/>
      <c r="AA385"/>
      <c r="AB385"/>
      <c r="AC385" s="274"/>
      <c r="AD385" s="40"/>
    </row>
    <row r="386" spans="16:30" ht="10.5" customHeight="1">
      <c r="P386" s="150" t="s">
        <v>4603</v>
      </c>
      <c r="Q386" s="150"/>
      <c r="R386" s="98"/>
      <c r="S386" s="146"/>
      <c r="T386" s="284" t="s">
        <v>4604</v>
      </c>
      <c r="U386" s="284" t="s">
        <v>103</v>
      </c>
      <c r="W386" s="25"/>
      <c r="X386" s="25"/>
      <c r="AA386"/>
      <c r="AB386"/>
      <c r="AC386" s="274"/>
      <c r="AD386" s="40"/>
    </row>
    <row r="387" spans="16:30" ht="10.5" customHeight="1">
      <c r="P387" s="150" t="s">
        <v>4605</v>
      </c>
      <c r="Q387" s="150"/>
      <c r="R387" s="98"/>
      <c r="S387" s="146"/>
      <c r="T387" s="284" t="s">
        <v>4029</v>
      </c>
      <c r="U387" s="284" t="s">
        <v>4256</v>
      </c>
      <c r="W387" s="25"/>
      <c r="X387" s="25"/>
      <c r="AA387"/>
      <c r="AB387"/>
      <c r="AC387" s="274"/>
      <c r="AD387" s="40"/>
    </row>
    <row r="388" spans="16:30" ht="10.5" customHeight="1">
      <c r="P388" s="150" t="s">
        <v>4606</v>
      </c>
      <c r="Q388" s="150"/>
      <c r="R388" s="98"/>
      <c r="S388" s="146"/>
      <c r="T388" s="284" t="s">
        <v>4607</v>
      </c>
      <c r="U388" s="284" t="s">
        <v>3880</v>
      </c>
      <c r="W388" s="25"/>
      <c r="X388" s="25"/>
      <c r="AA388"/>
      <c r="AB388"/>
      <c r="AC388" s="274"/>
      <c r="AD388" s="40"/>
    </row>
    <row r="389" spans="16:30" ht="10.5" customHeight="1">
      <c r="P389" s="150" t="s">
        <v>4608</v>
      </c>
      <c r="Q389" s="150"/>
      <c r="R389" s="98"/>
      <c r="S389" s="146"/>
      <c r="T389" s="284" t="s">
        <v>4609</v>
      </c>
      <c r="U389" s="284" t="s">
        <v>137</v>
      </c>
      <c r="W389" s="25"/>
      <c r="X389" s="25"/>
      <c r="AA389"/>
      <c r="AB389"/>
      <c r="AC389" s="274"/>
      <c r="AD389" s="40"/>
    </row>
    <row r="390" spans="16:30" ht="10.5" customHeight="1">
      <c r="P390" s="150" t="s">
        <v>4610</v>
      </c>
      <c r="Q390" s="150"/>
      <c r="R390" s="98"/>
      <c r="S390" s="146"/>
      <c r="T390" s="284" t="s">
        <v>125</v>
      </c>
      <c r="U390" s="284" t="s">
        <v>126</v>
      </c>
      <c r="W390" s="25"/>
      <c r="X390" s="25"/>
      <c r="AA390"/>
      <c r="AB390"/>
      <c r="AC390" s="274"/>
      <c r="AD390" s="40"/>
    </row>
    <row r="391" spans="16:30" ht="10.5" customHeight="1">
      <c r="P391" s="150" t="s">
        <v>4611</v>
      </c>
      <c r="Q391" s="150"/>
      <c r="R391" s="98"/>
      <c r="S391" s="146"/>
      <c r="T391" s="284" t="s">
        <v>4612</v>
      </c>
      <c r="U391" s="284" t="s">
        <v>4173</v>
      </c>
      <c r="W391" s="25"/>
      <c r="X391" s="25"/>
      <c r="AA391"/>
      <c r="AB391"/>
      <c r="AC391" s="274"/>
      <c r="AD391" s="40"/>
    </row>
    <row r="392" spans="16:30" ht="10.5" customHeight="1">
      <c r="P392" s="150" t="s">
        <v>4613</v>
      </c>
      <c r="Q392" s="150"/>
      <c r="R392" s="98"/>
      <c r="S392" s="146"/>
      <c r="T392" s="284" t="s">
        <v>4034</v>
      </c>
      <c r="U392" s="284" t="s">
        <v>4115</v>
      </c>
      <c r="W392" s="25"/>
      <c r="X392" s="25"/>
      <c r="AA392"/>
      <c r="AB392"/>
      <c r="AC392" s="274"/>
      <c r="AD392" s="40"/>
    </row>
    <row r="393" spans="16:30" ht="10.5" customHeight="1">
      <c r="P393" s="150" t="s">
        <v>4614</v>
      </c>
      <c r="Q393" s="150"/>
      <c r="R393" s="98"/>
      <c r="S393" s="146"/>
      <c r="T393" s="284" t="s">
        <v>4615</v>
      </c>
      <c r="U393" s="284" t="s">
        <v>4034</v>
      </c>
      <c r="W393" s="25"/>
      <c r="X393" s="25"/>
      <c r="AA393"/>
      <c r="AB393"/>
      <c r="AC393" s="274"/>
      <c r="AD393" s="40"/>
    </row>
    <row r="394" spans="16:30" ht="10.5" customHeight="1">
      <c r="P394" s="150" t="s">
        <v>4616</v>
      </c>
      <c r="Q394" s="150"/>
      <c r="R394" s="98"/>
      <c r="S394" s="146"/>
      <c r="T394" s="284" t="s">
        <v>4617</v>
      </c>
      <c r="U394" s="284" t="s">
        <v>3904</v>
      </c>
      <c r="W394" s="25"/>
      <c r="X394" s="25"/>
      <c r="AA394"/>
      <c r="AB394"/>
      <c r="AC394" s="274"/>
      <c r="AD394" s="40"/>
    </row>
    <row r="395" spans="16:30" ht="10.5" customHeight="1">
      <c r="P395" s="150" t="s">
        <v>4618</v>
      </c>
      <c r="Q395" s="150"/>
      <c r="R395" s="98"/>
      <c r="S395" s="146"/>
      <c r="T395" s="284" t="s">
        <v>3925</v>
      </c>
      <c r="U395" s="284" t="s">
        <v>4085</v>
      </c>
      <c r="W395" s="25"/>
      <c r="X395" s="25"/>
      <c r="AA395"/>
      <c r="AB395"/>
      <c r="AC395" s="274"/>
      <c r="AD395" s="40"/>
    </row>
    <row r="396" spans="16:30" ht="10.5" customHeight="1">
      <c r="P396" s="150" t="s">
        <v>4619</v>
      </c>
      <c r="Q396" s="150"/>
      <c r="R396" s="98"/>
      <c r="S396" s="146"/>
      <c r="T396" s="284" t="s">
        <v>4620</v>
      </c>
      <c r="U396" s="284" t="s">
        <v>140</v>
      </c>
      <c r="W396" s="25"/>
      <c r="X396" s="25"/>
      <c r="AA396"/>
      <c r="AB396"/>
      <c r="AC396" s="274"/>
      <c r="AD396" s="40"/>
    </row>
    <row r="397" spans="16:30" ht="10.5" customHeight="1">
      <c r="P397" s="150" t="s">
        <v>4621</v>
      </c>
      <c r="Q397" s="150"/>
      <c r="R397" s="98"/>
      <c r="S397" s="146"/>
      <c r="T397" s="284" t="s">
        <v>4622</v>
      </c>
      <c r="U397" s="284" t="s">
        <v>4000</v>
      </c>
      <c r="W397" s="25"/>
      <c r="X397" s="25"/>
      <c r="AA397"/>
      <c r="AB397"/>
      <c r="AC397" s="274"/>
      <c r="AD397" s="40"/>
    </row>
    <row r="398" spans="16:30" ht="10.5" customHeight="1">
      <c r="P398" s="150" t="s">
        <v>4623</v>
      </c>
      <c r="Q398" s="150"/>
      <c r="R398" s="98"/>
      <c r="S398" s="146"/>
      <c r="T398" s="284" t="s">
        <v>4624</v>
      </c>
      <c r="U398" s="284" t="s">
        <v>4241</v>
      </c>
      <c r="W398" s="25"/>
      <c r="X398" s="25"/>
      <c r="AA398"/>
      <c r="AB398"/>
      <c r="AC398" s="274"/>
      <c r="AD398" s="40"/>
    </row>
    <row r="399" spans="16:30" ht="10.5" customHeight="1">
      <c r="P399" s="150" t="s">
        <v>4625</v>
      </c>
      <c r="Q399" s="150"/>
      <c r="R399" s="98"/>
      <c r="S399" s="146"/>
      <c r="T399" s="146" t="s">
        <v>4626</v>
      </c>
      <c r="U399" s="146" t="s">
        <v>4378</v>
      </c>
      <c r="AA399"/>
      <c r="AB399"/>
      <c r="AC399" s="40"/>
      <c r="AD399" s="40"/>
    </row>
    <row r="400" spans="16:30" ht="10.5" customHeight="1">
      <c r="P400" s="150" t="s">
        <v>4627</v>
      </c>
      <c r="Q400" s="150"/>
      <c r="R400" s="98"/>
      <c r="S400" s="146"/>
      <c r="T400" s="284" t="s">
        <v>127</v>
      </c>
      <c r="U400" s="284" t="s">
        <v>128</v>
      </c>
      <c r="AA400"/>
      <c r="AB400"/>
      <c r="AC400" s="274"/>
      <c r="AD400" s="40"/>
    </row>
    <row r="401" spans="16:30" ht="10.5" customHeight="1">
      <c r="P401" s="150" t="s">
        <v>4628</v>
      </c>
      <c r="Q401" s="150"/>
      <c r="R401" s="98"/>
      <c r="S401" s="146"/>
      <c r="T401" s="284" t="s">
        <v>4629</v>
      </c>
      <c r="U401" s="284" t="s">
        <v>4048</v>
      </c>
      <c r="AA401"/>
      <c r="AB401"/>
      <c r="AC401" s="274"/>
      <c r="AD401" s="40"/>
    </row>
    <row r="402" spans="16:30" ht="10.5" customHeight="1">
      <c r="P402" s="150" t="s">
        <v>4630</v>
      </c>
      <c r="Q402" s="150"/>
      <c r="R402" s="98"/>
      <c r="S402" s="146"/>
      <c r="T402" s="284" t="s">
        <v>4631</v>
      </c>
      <c r="U402" s="284" t="s">
        <v>4085</v>
      </c>
      <c r="AA402"/>
      <c r="AB402"/>
      <c r="AC402" s="274"/>
      <c r="AD402" s="40"/>
    </row>
    <row r="403" spans="16:30" ht="10.5" customHeight="1">
      <c r="P403" s="150" t="s">
        <v>4632</v>
      </c>
      <c r="Q403" s="150"/>
      <c r="R403" s="98"/>
      <c r="S403" s="146"/>
      <c r="T403" s="146" t="s">
        <v>4633</v>
      </c>
      <c r="U403" s="146" t="s">
        <v>3805</v>
      </c>
      <c r="AA403"/>
      <c r="AB403"/>
      <c r="AC403" s="40"/>
      <c r="AD403" s="40"/>
    </row>
    <row r="404" spans="16:30" ht="10.5" customHeight="1">
      <c r="P404" s="150" t="s">
        <v>4634</v>
      </c>
      <c r="Q404" s="150"/>
      <c r="R404" s="98"/>
      <c r="S404" s="146"/>
      <c r="T404" s="284" t="s">
        <v>4635</v>
      </c>
      <c r="U404" s="284" t="s">
        <v>4345</v>
      </c>
      <c r="AA404"/>
      <c r="AB404"/>
      <c r="AC404" s="274"/>
      <c r="AD404" s="40"/>
    </row>
    <row r="405" spans="16:30" ht="10.5" customHeight="1">
      <c r="P405" s="150" t="s">
        <v>4636</v>
      </c>
      <c r="Q405" s="150"/>
      <c r="R405" s="98"/>
      <c r="S405" s="146"/>
      <c r="T405" s="284" t="s">
        <v>4637</v>
      </c>
      <c r="U405" s="284" t="s">
        <v>3754</v>
      </c>
      <c r="AA405"/>
      <c r="AB405"/>
      <c r="AC405" s="274"/>
      <c r="AD405" s="40"/>
    </row>
    <row r="406" spans="16:30" ht="10.5" customHeight="1">
      <c r="P406" s="150" t="s">
        <v>4638</v>
      </c>
      <c r="Q406" s="150"/>
      <c r="R406" s="98"/>
      <c r="S406" s="146"/>
      <c r="T406" s="284" t="s">
        <v>4639</v>
      </c>
      <c r="U406" s="284" t="s">
        <v>3991</v>
      </c>
      <c r="AA406"/>
      <c r="AB406"/>
      <c r="AC406" s="274"/>
      <c r="AD406" s="40"/>
    </row>
    <row r="407" spans="16:30" ht="10.5" customHeight="1">
      <c r="P407" s="150" t="s">
        <v>4640</v>
      </c>
      <c r="Q407" s="150"/>
      <c r="R407" s="98"/>
      <c r="S407" s="146"/>
      <c r="T407" s="284" t="s">
        <v>4057</v>
      </c>
      <c r="U407" s="284" t="s">
        <v>3786</v>
      </c>
      <c r="AA407"/>
      <c r="AB407"/>
      <c r="AC407" s="274"/>
      <c r="AD407" s="40"/>
    </row>
    <row r="408" spans="16:30" ht="10.5" customHeight="1">
      <c r="P408" s="150" t="s">
        <v>4641</v>
      </c>
      <c r="Q408" s="150"/>
      <c r="R408" s="98"/>
      <c r="S408" s="146"/>
      <c r="T408" s="284" t="s">
        <v>4642</v>
      </c>
      <c r="U408" s="284" t="s">
        <v>3702</v>
      </c>
      <c r="AA408"/>
      <c r="AB408"/>
      <c r="AC408" s="274"/>
      <c r="AD408" s="40"/>
    </row>
    <row r="409" spans="16:30" ht="10.5" customHeight="1">
      <c r="P409" s="150" t="s">
        <v>4643</v>
      </c>
      <c r="Q409" s="150"/>
      <c r="R409" s="98"/>
      <c r="S409" s="146"/>
      <c r="T409" s="146" t="s">
        <v>4644</v>
      </c>
      <c r="U409" s="146" t="s">
        <v>118</v>
      </c>
      <c r="AA409"/>
      <c r="AB409"/>
      <c r="AC409" s="40"/>
      <c r="AD409" s="40"/>
    </row>
    <row r="410" spans="16:30" ht="10.5" customHeight="1">
      <c r="P410" s="150" t="s">
        <v>4645</v>
      </c>
      <c r="Q410" s="150"/>
      <c r="R410" s="98"/>
      <c r="S410" s="146"/>
      <c r="T410" s="284" t="s">
        <v>4646</v>
      </c>
      <c r="U410" s="284" t="s">
        <v>4165</v>
      </c>
      <c r="AA410"/>
      <c r="AB410"/>
      <c r="AC410" s="274"/>
      <c r="AD410" s="40"/>
    </row>
    <row r="411" spans="16:30" ht="10.5" customHeight="1">
      <c r="P411" s="150" t="s">
        <v>4647</v>
      </c>
      <c r="Q411" s="150"/>
      <c r="R411" s="98"/>
      <c r="S411" s="146"/>
      <c r="T411" s="284" t="s">
        <v>4648</v>
      </c>
      <c r="U411" s="284" t="s">
        <v>3974</v>
      </c>
      <c r="AA411"/>
      <c r="AB411"/>
      <c r="AC411" s="274"/>
      <c r="AD411" s="40"/>
    </row>
    <row r="412" spans="16:30" ht="10.5" customHeight="1">
      <c r="P412" s="150" t="s">
        <v>4649</v>
      </c>
      <c r="Q412" s="150"/>
      <c r="R412" s="98"/>
      <c r="S412" s="146"/>
      <c r="T412" s="284" t="s">
        <v>2177</v>
      </c>
      <c r="U412" s="284" t="s">
        <v>4070</v>
      </c>
      <c r="AA412"/>
      <c r="AB412"/>
      <c r="AC412" s="274"/>
      <c r="AD412" s="40"/>
    </row>
    <row r="413" spans="16:30" ht="10.5" customHeight="1">
      <c r="P413" s="150" t="s">
        <v>4650</v>
      </c>
      <c r="Q413" s="150"/>
      <c r="R413" s="98"/>
      <c r="S413" s="146"/>
      <c r="T413" s="284" t="s">
        <v>4651</v>
      </c>
      <c r="U413" s="284" t="s">
        <v>4241</v>
      </c>
      <c r="AA413"/>
      <c r="AB413"/>
      <c r="AC413" s="274"/>
      <c r="AD413" s="40"/>
    </row>
    <row r="414" spans="16:30" ht="10.5" customHeight="1">
      <c r="P414" s="150" t="s">
        <v>4652</v>
      </c>
      <c r="Q414" s="150"/>
      <c r="R414" s="98"/>
      <c r="S414" s="146"/>
      <c r="T414" s="284" t="s">
        <v>129</v>
      </c>
      <c r="U414" s="284" t="s">
        <v>98</v>
      </c>
      <c r="AA414"/>
      <c r="AB414"/>
      <c r="AC414" s="274"/>
      <c r="AD414" s="40"/>
    </row>
    <row r="415" spans="16:30" ht="10.5" customHeight="1">
      <c r="P415" s="150" t="s">
        <v>4653</v>
      </c>
      <c r="Q415" s="150"/>
      <c r="R415" s="98"/>
      <c r="S415" s="146"/>
      <c r="T415" s="284" t="s">
        <v>2179</v>
      </c>
      <c r="U415" s="284" t="s">
        <v>116</v>
      </c>
      <c r="AA415"/>
      <c r="AB415"/>
      <c r="AC415" s="274"/>
      <c r="AD415" s="40"/>
    </row>
    <row r="416" spans="16:30" ht="10.5" customHeight="1">
      <c r="P416" s="150" t="s">
        <v>4654</v>
      </c>
      <c r="Q416" s="150"/>
      <c r="R416" s="98"/>
      <c r="S416" s="146"/>
      <c r="T416" s="284" t="s">
        <v>4655</v>
      </c>
      <c r="U416" s="284" t="s">
        <v>120</v>
      </c>
      <c r="AA416"/>
      <c r="AB416"/>
      <c r="AC416" s="274"/>
      <c r="AD416" s="40"/>
    </row>
    <row r="417" spans="16:30" ht="10.5" customHeight="1">
      <c r="P417" s="150" t="s">
        <v>4656</v>
      </c>
      <c r="Q417" s="150"/>
      <c r="R417" s="98"/>
      <c r="S417" s="146"/>
      <c r="T417" s="284" t="s">
        <v>4657</v>
      </c>
      <c r="U417" s="284" t="s">
        <v>126</v>
      </c>
      <c r="AA417"/>
      <c r="AB417"/>
      <c r="AC417" s="274"/>
      <c r="AD417" s="40"/>
    </row>
    <row r="418" spans="16:30" ht="10.5" customHeight="1">
      <c r="P418" s="150" t="s">
        <v>4658</v>
      </c>
      <c r="Q418" s="150"/>
      <c r="R418" s="98"/>
      <c r="S418" s="146"/>
      <c r="T418" s="284" t="s">
        <v>130</v>
      </c>
      <c r="U418" s="284" t="s">
        <v>131</v>
      </c>
      <c r="AA418"/>
      <c r="AB418"/>
      <c r="AC418" s="274"/>
      <c r="AD418" s="40"/>
    </row>
    <row r="419" spans="16:30" ht="10.5" customHeight="1">
      <c r="P419" s="150" t="s">
        <v>4659</v>
      </c>
      <c r="Q419" s="150"/>
      <c r="R419" s="98"/>
      <c r="S419" s="146"/>
      <c r="T419" s="284" t="s">
        <v>4660</v>
      </c>
      <c r="U419" s="284" t="s">
        <v>3987</v>
      </c>
      <c r="AA419"/>
      <c r="AB419"/>
      <c r="AC419" s="274"/>
      <c r="AD419" s="40"/>
    </row>
    <row r="420" spans="16:30" ht="10.5" customHeight="1">
      <c r="P420" s="150" t="s">
        <v>4661</v>
      </c>
      <c r="Q420" s="150"/>
      <c r="R420" s="98"/>
      <c r="S420" s="146"/>
      <c r="T420" s="284" t="s">
        <v>4662</v>
      </c>
      <c r="U420" s="284" t="s">
        <v>119</v>
      </c>
      <c r="AA420"/>
      <c r="AB420"/>
      <c r="AC420" s="274"/>
      <c r="AD420" s="40"/>
    </row>
    <row r="421" spans="16:30" ht="10.5" customHeight="1">
      <c r="P421" s="150" t="s">
        <v>4663</v>
      </c>
      <c r="Q421" s="150"/>
      <c r="R421" s="98"/>
      <c r="S421" s="146"/>
      <c r="T421" s="284" t="s">
        <v>4664</v>
      </c>
      <c r="U421" s="284" t="s">
        <v>154</v>
      </c>
      <c r="AA421"/>
      <c r="AB421"/>
      <c r="AC421" s="274"/>
      <c r="AD421" s="40"/>
    </row>
    <row r="422" spans="16:30" ht="10.5" customHeight="1">
      <c r="P422" s="150" t="s">
        <v>4665</v>
      </c>
      <c r="Q422" s="150"/>
      <c r="R422" s="98"/>
      <c r="S422" s="146"/>
      <c r="T422" s="146" t="s">
        <v>4666</v>
      </c>
      <c r="U422" s="146" t="s">
        <v>4104</v>
      </c>
      <c r="AA422"/>
      <c r="AB422"/>
      <c r="AC422" s="40"/>
      <c r="AD422" s="40"/>
    </row>
    <row r="423" spans="16:30" ht="10.5" customHeight="1">
      <c r="P423" s="150" t="s">
        <v>4667</v>
      </c>
      <c r="Q423" s="150"/>
      <c r="R423" s="98"/>
      <c r="S423" s="146"/>
      <c r="T423" s="284" t="s">
        <v>4668</v>
      </c>
      <c r="U423" s="284" t="s">
        <v>101</v>
      </c>
      <c r="AA423"/>
      <c r="AB423"/>
      <c r="AC423" s="274"/>
      <c r="AD423" s="40"/>
    </row>
    <row r="424" spans="16:30" ht="10.5" customHeight="1">
      <c r="P424" s="150" t="s">
        <v>4669</v>
      </c>
      <c r="Q424" s="150"/>
      <c r="R424" s="98"/>
      <c r="S424" s="146"/>
      <c r="T424" s="284" t="s">
        <v>132</v>
      </c>
      <c r="U424" s="284" t="s">
        <v>133</v>
      </c>
      <c r="AA424"/>
      <c r="AB424"/>
      <c r="AC424" s="274"/>
      <c r="AD424" s="40"/>
    </row>
    <row r="425" spans="16:30" ht="10.5" customHeight="1">
      <c r="P425" s="150" t="s">
        <v>4670</v>
      </c>
      <c r="Q425" s="150"/>
      <c r="R425" s="98"/>
      <c r="S425" s="146"/>
      <c r="T425" s="284" t="s">
        <v>4671</v>
      </c>
      <c r="U425" s="284" t="s">
        <v>156</v>
      </c>
      <c r="AA425"/>
      <c r="AB425"/>
      <c r="AC425" s="274"/>
      <c r="AD425" s="40"/>
    </row>
    <row r="426" spans="16:30" ht="10.5" customHeight="1">
      <c r="P426" s="150" t="s">
        <v>4672</v>
      </c>
      <c r="Q426" s="150"/>
      <c r="R426" s="98"/>
      <c r="S426" s="146"/>
      <c r="T426" s="284" t="s">
        <v>4098</v>
      </c>
      <c r="U426" s="284" t="s">
        <v>118</v>
      </c>
      <c r="AA426"/>
      <c r="AB426"/>
      <c r="AC426" s="274"/>
      <c r="AD426" s="40"/>
    </row>
    <row r="427" spans="16:30" ht="10.5" customHeight="1">
      <c r="P427" s="150" t="s">
        <v>4673</v>
      </c>
      <c r="Q427" s="150"/>
      <c r="R427" s="98"/>
      <c r="S427" s="146"/>
      <c r="T427" s="284" t="s">
        <v>4674</v>
      </c>
      <c r="U427" s="284" t="s">
        <v>3733</v>
      </c>
      <c r="AA427"/>
      <c r="AB427"/>
      <c r="AC427" s="274"/>
      <c r="AD427" s="40"/>
    </row>
    <row r="428" spans="16:30" ht="10.5" customHeight="1">
      <c r="P428" s="150" t="s">
        <v>4675</v>
      </c>
      <c r="Q428" s="150"/>
      <c r="R428" s="98"/>
      <c r="S428" s="146"/>
      <c r="T428" s="284" t="s">
        <v>4676</v>
      </c>
      <c r="U428" s="284" t="s">
        <v>120</v>
      </c>
      <c r="AA428"/>
      <c r="AB428"/>
      <c r="AC428" s="274"/>
      <c r="AD428" s="40"/>
    </row>
    <row r="429" spans="16:30" ht="10.5" customHeight="1">
      <c r="P429" s="150" t="s">
        <v>4677</v>
      </c>
      <c r="Q429" s="150"/>
      <c r="R429" s="98"/>
      <c r="S429" s="146"/>
      <c r="T429" s="284" t="s">
        <v>4678</v>
      </c>
      <c r="U429" s="284" t="s">
        <v>2218</v>
      </c>
      <c r="AA429"/>
      <c r="AB429"/>
      <c r="AC429" s="274"/>
      <c r="AD429" s="40"/>
    </row>
    <row r="430" spans="16:30" ht="10.5" customHeight="1">
      <c r="P430" s="150" t="s">
        <v>4679</v>
      </c>
      <c r="Q430" s="150"/>
      <c r="R430" s="98"/>
      <c r="S430" s="146"/>
      <c r="T430" s="284" t="s">
        <v>2180</v>
      </c>
      <c r="U430" s="284" t="s">
        <v>169</v>
      </c>
      <c r="AA430"/>
      <c r="AB430"/>
      <c r="AC430" s="274"/>
      <c r="AD430" s="40"/>
    </row>
    <row r="431" spans="16:30" ht="10.5" customHeight="1">
      <c r="P431" s="150" t="s">
        <v>4680</v>
      </c>
      <c r="Q431" s="150"/>
      <c r="R431" s="98"/>
      <c r="S431" s="146"/>
      <c r="T431" s="284" t="s">
        <v>4681</v>
      </c>
      <c r="U431" s="284" t="s">
        <v>4315</v>
      </c>
      <c r="AA431"/>
      <c r="AB431"/>
      <c r="AC431" s="274"/>
      <c r="AD431" s="40"/>
    </row>
    <row r="432" spans="16:30" ht="10.5" customHeight="1">
      <c r="P432" s="150" t="s">
        <v>4682</v>
      </c>
      <c r="Q432" s="150"/>
      <c r="R432" s="98"/>
      <c r="S432" s="146"/>
      <c r="T432" s="284" t="s">
        <v>4683</v>
      </c>
      <c r="U432" s="284" t="s">
        <v>4141</v>
      </c>
      <c r="AA432"/>
      <c r="AB432"/>
      <c r="AC432" s="274"/>
      <c r="AD432" s="40"/>
    </row>
    <row r="433" spans="16:30" ht="10.5" customHeight="1">
      <c r="P433" s="150" t="s">
        <v>4684</v>
      </c>
      <c r="Q433" s="150"/>
      <c r="R433" s="98"/>
      <c r="S433" s="146"/>
      <c r="T433" s="284" t="s">
        <v>4685</v>
      </c>
      <c r="U433" s="284" t="s">
        <v>4338</v>
      </c>
      <c r="AA433"/>
      <c r="AB433"/>
      <c r="AC433" s="274"/>
      <c r="AD433" s="40"/>
    </row>
    <row r="434" spans="16:30" ht="10.5" customHeight="1">
      <c r="P434" s="150" t="s">
        <v>4686</v>
      </c>
      <c r="Q434" s="150"/>
      <c r="R434" s="98"/>
      <c r="S434" s="146"/>
      <c r="T434" s="284" t="s">
        <v>4687</v>
      </c>
      <c r="U434" s="284" t="s">
        <v>140</v>
      </c>
      <c r="AA434"/>
      <c r="AB434"/>
      <c r="AC434" s="274"/>
      <c r="AD434" s="40"/>
    </row>
    <row r="435" spans="16:30" ht="10.5" customHeight="1">
      <c r="P435" s="150" t="s">
        <v>4688</v>
      </c>
      <c r="Q435" s="150"/>
      <c r="R435" s="98"/>
      <c r="S435" s="146"/>
      <c r="T435" s="284" t="s">
        <v>4689</v>
      </c>
      <c r="U435" s="284" t="s">
        <v>3897</v>
      </c>
      <c r="AA435"/>
      <c r="AB435"/>
      <c r="AC435" s="274"/>
      <c r="AD435" s="40"/>
    </row>
    <row r="436" spans="16:30" ht="10.5" customHeight="1">
      <c r="P436" s="150" t="s">
        <v>4690</v>
      </c>
      <c r="Q436" s="150"/>
      <c r="R436" s="98"/>
      <c r="S436" s="146"/>
      <c r="T436" s="146" t="s">
        <v>4691</v>
      </c>
      <c r="U436" s="146" t="s">
        <v>101</v>
      </c>
      <c r="AA436"/>
      <c r="AB436"/>
      <c r="AC436" s="40"/>
      <c r="AD436" s="40"/>
    </row>
    <row r="437" spans="16:30" ht="10.5" customHeight="1">
      <c r="P437" s="150" t="s">
        <v>4692</v>
      </c>
      <c r="Q437" s="150"/>
      <c r="R437" s="98"/>
      <c r="S437" s="146"/>
      <c r="T437" s="284" t="s">
        <v>4693</v>
      </c>
      <c r="U437" s="284" t="s">
        <v>131</v>
      </c>
      <c r="AA437"/>
      <c r="AB437"/>
      <c r="AC437" s="274"/>
      <c r="AD437" s="40"/>
    </row>
    <row r="438" spans="16:30" ht="10.5" customHeight="1">
      <c r="P438" s="150" t="s">
        <v>4694</v>
      </c>
      <c r="Q438" s="150"/>
      <c r="R438" s="98"/>
      <c r="S438" s="146"/>
      <c r="T438" s="146" t="s">
        <v>4695</v>
      </c>
      <c r="U438" s="146" t="s">
        <v>152</v>
      </c>
      <c r="AA438"/>
      <c r="AB438"/>
      <c r="AC438" s="40"/>
      <c r="AD438" s="40"/>
    </row>
    <row r="439" spans="16:30" ht="10.5" customHeight="1">
      <c r="P439" s="150" t="s">
        <v>4696</v>
      </c>
      <c r="Q439" s="150"/>
      <c r="R439" s="98"/>
      <c r="S439" s="146"/>
      <c r="T439" s="284" t="s">
        <v>134</v>
      </c>
      <c r="U439" s="284" t="s">
        <v>135</v>
      </c>
      <c r="AA439"/>
      <c r="AB439"/>
      <c r="AC439" s="274"/>
      <c r="AD439" s="40"/>
    </row>
    <row r="440" spans="16:30" ht="10.5" customHeight="1">
      <c r="P440" s="150" t="s">
        <v>4697</v>
      </c>
      <c r="Q440" s="150"/>
      <c r="R440" s="98"/>
      <c r="S440" s="146"/>
      <c r="T440" s="146" t="s">
        <v>4698</v>
      </c>
      <c r="U440" s="146" t="s">
        <v>4350</v>
      </c>
      <c r="AA440"/>
      <c r="AB440"/>
      <c r="AC440" s="40"/>
      <c r="AD440" s="40"/>
    </row>
    <row r="441" spans="16:30" ht="10.5" customHeight="1">
      <c r="P441" s="150" t="s">
        <v>4699</v>
      </c>
      <c r="Q441" s="150"/>
      <c r="R441" s="98"/>
      <c r="S441" s="146"/>
      <c r="T441" s="284" t="s">
        <v>4700</v>
      </c>
      <c r="U441" s="284" t="s">
        <v>126</v>
      </c>
      <c r="AA441"/>
      <c r="AB441"/>
      <c r="AC441" s="274"/>
      <c r="AD441" s="40"/>
    </row>
    <row r="442" spans="16:30" ht="10.5" customHeight="1">
      <c r="P442" s="150" t="s">
        <v>4701</v>
      </c>
      <c r="Q442" s="150"/>
      <c r="R442" s="98"/>
      <c r="S442" s="146"/>
      <c r="T442" s="284" t="s">
        <v>4702</v>
      </c>
      <c r="U442" s="284" t="s">
        <v>4096</v>
      </c>
      <c r="AA442"/>
      <c r="AB442"/>
      <c r="AC442" s="274"/>
      <c r="AD442" s="40"/>
    </row>
    <row r="443" spans="16:30" ht="10.5" customHeight="1">
      <c r="P443" s="150" t="s">
        <v>4703</v>
      </c>
      <c r="Q443" s="150"/>
      <c r="R443" s="98"/>
      <c r="S443" s="146"/>
      <c r="T443" s="284" t="s">
        <v>4704</v>
      </c>
      <c r="U443" s="284" t="s">
        <v>3781</v>
      </c>
      <c r="AA443"/>
      <c r="AB443"/>
      <c r="AC443" s="274"/>
      <c r="AD443" s="40"/>
    </row>
    <row r="444" spans="16:30" ht="10.5" customHeight="1">
      <c r="P444" s="150" t="s">
        <v>4705</v>
      </c>
      <c r="Q444" s="150"/>
      <c r="R444" s="98"/>
      <c r="S444" s="146"/>
      <c r="T444" s="284" t="s">
        <v>4706</v>
      </c>
      <c r="U444" s="284" t="s">
        <v>4421</v>
      </c>
      <c r="AA444"/>
      <c r="AB444"/>
      <c r="AC444" s="274"/>
      <c r="AD444" s="40"/>
    </row>
    <row r="445" spans="16:30" ht="10.5" customHeight="1">
      <c r="P445" s="150" t="s">
        <v>4707</v>
      </c>
      <c r="Q445" s="150"/>
      <c r="R445" s="98"/>
      <c r="S445" s="146"/>
      <c r="T445" s="284" t="s">
        <v>4708</v>
      </c>
      <c r="U445" s="284" t="s">
        <v>3869</v>
      </c>
      <c r="AA445"/>
      <c r="AB445"/>
      <c r="AC445" s="274"/>
      <c r="AD445" s="40"/>
    </row>
    <row r="446" spans="16:30" ht="10.5" customHeight="1">
      <c r="P446" s="150" t="s">
        <v>4709</v>
      </c>
      <c r="Q446" s="150"/>
      <c r="R446" s="98"/>
      <c r="S446" s="146"/>
      <c r="T446" s="284" t="s">
        <v>4710</v>
      </c>
      <c r="U446" s="284" t="s">
        <v>3846</v>
      </c>
      <c r="AA446"/>
      <c r="AB446"/>
      <c r="AC446" s="274"/>
      <c r="AD446" s="40"/>
    </row>
    <row r="447" spans="16:30" ht="10.5" customHeight="1">
      <c r="P447" s="150" t="s">
        <v>4711</v>
      </c>
      <c r="Q447" s="150"/>
      <c r="R447" s="98"/>
      <c r="S447" s="146"/>
      <c r="T447" s="284" t="s">
        <v>4712</v>
      </c>
      <c r="U447" s="284" t="s">
        <v>3740</v>
      </c>
      <c r="AA447"/>
      <c r="AB447"/>
      <c r="AC447" s="274"/>
      <c r="AD447" s="40"/>
    </row>
    <row r="448" spans="16:30" ht="10.5" customHeight="1">
      <c r="P448" s="150" t="s">
        <v>4713</v>
      </c>
      <c r="Q448" s="150"/>
      <c r="R448" s="98"/>
      <c r="S448" s="146"/>
      <c r="T448" s="284" t="s">
        <v>4714</v>
      </c>
      <c r="U448" s="284" t="s">
        <v>3856</v>
      </c>
      <c r="AA448"/>
      <c r="AB448"/>
      <c r="AC448" s="274"/>
      <c r="AD448" s="40"/>
    </row>
    <row r="449" spans="16:30" ht="10.5" customHeight="1">
      <c r="P449" s="150" t="s">
        <v>4715</v>
      </c>
      <c r="Q449" s="150"/>
      <c r="R449" s="98"/>
      <c r="S449" s="146"/>
      <c r="T449" s="284" t="s">
        <v>4716</v>
      </c>
      <c r="U449" s="284" t="s">
        <v>3851</v>
      </c>
      <c r="AA449"/>
      <c r="AB449"/>
      <c r="AC449" s="274"/>
      <c r="AD449" s="40"/>
    </row>
    <row r="450" spans="16:30" ht="10.5" customHeight="1">
      <c r="P450" s="150" t="s">
        <v>4717</v>
      </c>
      <c r="Q450" s="150"/>
      <c r="R450" s="98"/>
      <c r="S450" s="146"/>
      <c r="T450" s="284" t="s">
        <v>4718</v>
      </c>
      <c r="U450" s="284" t="s">
        <v>4163</v>
      </c>
      <c r="AA450"/>
      <c r="AB450"/>
      <c r="AC450" s="274"/>
      <c r="AD450" s="40"/>
    </row>
    <row r="451" spans="16:30" ht="10.5" customHeight="1">
      <c r="P451" s="150" t="s">
        <v>4719</v>
      </c>
      <c r="Q451" s="150"/>
      <c r="R451" s="98"/>
      <c r="S451" s="146"/>
      <c r="T451" s="318" t="s">
        <v>4720</v>
      </c>
      <c r="U451" s="284" t="s">
        <v>2185</v>
      </c>
      <c r="AA451"/>
      <c r="AB451"/>
      <c r="AC451" s="538"/>
      <c r="AD451" s="40"/>
    </row>
    <row r="452" spans="16:30" ht="10.5" customHeight="1">
      <c r="P452" s="150" t="s">
        <v>4721</v>
      </c>
      <c r="Q452" s="150"/>
      <c r="R452" s="98"/>
      <c r="S452" s="146"/>
      <c r="T452" s="284" t="s">
        <v>4722</v>
      </c>
      <c r="U452" s="284" t="s">
        <v>2735</v>
      </c>
      <c r="AA452"/>
      <c r="AB452"/>
      <c r="AC452" s="274"/>
      <c r="AD452" s="40"/>
    </row>
    <row r="453" spans="16:30" ht="10.5" customHeight="1">
      <c r="P453" s="150" t="s">
        <v>4723</v>
      </c>
      <c r="Q453" s="150"/>
      <c r="R453" s="98"/>
      <c r="S453" s="146"/>
      <c r="T453" s="284" t="s">
        <v>4724</v>
      </c>
      <c r="U453" s="284" t="s">
        <v>2185</v>
      </c>
      <c r="AA453"/>
      <c r="AB453"/>
      <c r="AC453" s="274"/>
      <c r="AD453" s="40"/>
    </row>
    <row r="454" spans="16:30" ht="10.5" customHeight="1">
      <c r="P454" s="150" t="s">
        <v>4725</v>
      </c>
      <c r="Q454" s="150"/>
      <c r="R454" s="98"/>
      <c r="S454" s="146"/>
      <c r="T454" s="284" t="s">
        <v>136</v>
      </c>
      <c r="U454" s="284" t="s">
        <v>137</v>
      </c>
      <c r="AA454"/>
      <c r="AB454"/>
      <c r="AC454" s="274"/>
      <c r="AD454" s="40"/>
    </row>
    <row r="455" spans="16:30" ht="10.5" customHeight="1">
      <c r="P455" s="150" t="s">
        <v>4726</v>
      </c>
      <c r="Q455" s="150"/>
      <c r="R455" s="98"/>
      <c r="S455" s="146"/>
      <c r="T455" s="284" t="s">
        <v>4727</v>
      </c>
      <c r="U455" s="284" t="s">
        <v>4359</v>
      </c>
      <c r="AA455"/>
      <c r="AB455"/>
      <c r="AC455" s="274"/>
      <c r="AD455" s="40"/>
    </row>
    <row r="456" spans="16:30" ht="10.5" customHeight="1">
      <c r="P456" s="150" t="s">
        <v>4728</v>
      </c>
      <c r="Q456" s="150"/>
      <c r="R456" s="98"/>
      <c r="S456" s="146"/>
      <c r="T456" s="146" t="s">
        <v>138</v>
      </c>
      <c r="U456" s="146" t="s">
        <v>103</v>
      </c>
      <c r="AA456"/>
      <c r="AB456"/>
      <c r="AC456" s="40"/>
      <c r="AD456" s="40"/>
    </row>
    <row r="457" spans="16:30" ht="10.5" customHeight="1">
      <c r="P457" s="150" t="s">
        <v>4729</v>
      </c>
      <c r="Q457" s="150"/>
      <c r="R457" s="98"/>
      <c r="S457" s="146"/>
      <c r="T457" s="284" t="s">
        <v>4730</v>
      </c>
      <c r="U457" s="284" t="s">
        <v>3786</v>
      </c>
      <c r="AA457"/>
      <c r="AB457"/>
      <c r="AC457" s="274"/>
      <c r="AD457" s="40"/>
    </row>
    <row r="458" spans="16:30" ht="10.5" customHeight="1">
      <c r="P458" s="150" t="s">
        <v>4731</v>
      </c>
      <c r="Q458" s="150"/>
      <c r="R458" s="98"/>
      <c r="S458" s="146"/>
      <c r="T458" s="284" t="s">
        <v>139</v>
      </c>
      <c r="U458" s="284" t="s">
        <v>140</v>
      </c>
      <c r="AA458"/>
      <c r="AB458"/>
      <c r="AC458" s="274"/>
      <c r="AD458" s="40"/>
    </row>
    <row r="459" spans="16:30" ht="10.5" customHeight="1">
      <c r="P459" s="150" t="s">
        <v>4732</v>
      </c>
      <c r="Q459" s="150"/>
      <c r="R459" s="98"/>
      <c r="S459" s="146"/>
      <c r="T459" s="284" t="s">
        <v>4733</v>
      </c>
      <c r="U459" s="284" t="s">
        <v>3786</v>
      </c>
      <c r="AA459"/>
      <c r="AB459"/>
      <c r="AC459" s="274"/>
      <c r="AD459" s="40"/>
    </row>
    <row r="460" spans="16:30" ht="10.5" customHeight="1">
      <c r="P460" s="150" t="s">
        <v>4734</v>
      </c>
      <c r="Q460" s="150"/>
      <c r="R460" s="98"/>
      <c r="S460" s="146"/>
      <c r="T460" s="284" t="s">
        <v>3851</v>
      </c>
      <c r="U460" s="284" t="s">
        <v>3811</v>
      </c>
      <c r="AA460"/>
      <c r="AB460"/>
      <c r="AC460" s="274"/>
      <c r="AD460" s="40"/>
    </row>
    <row r="461" spans="16:30" ht="10.5" customHeight="1">
      <c r="P461" s="150" t="s">
        <v>4735</v>
      </c>
      <c r="Q461" s="150"/>
      <c r="R461" s="98"/>
      <c r="S461" s="146"/>
      <c r="T461" s="284" t="s">
        <v>4736</v>
      </c>
      <c r="U461" s="284" t="s">
        <v>4394</v>
      </c>
      <c r="AA461"/>
      <c r="AB461"/>
      <c r="AC461" s="274"/>
      <c r="AD461" s="40"/>
    </row>
    <row r="462" spans="16:30" ht="10.5" customHeight="1">
      <c r="P462" s="150" t="s">
        <v>4737</v>
      </c>
      <c r="Q462" s="150"/>
      <c r="R462" s="98"/>
      <c r="S462" s="146"/>
      <c r="T462" s="284" t="s">
        <v>4738</v>
      </c>
      <c r="U462" s="284" t="s">
        <v>3976</v>
      </c>
      <c r="AA462"/>
      <c r="AB462"/>
      <c r="AC462" s="274"/>
      <c r="AD462" s="40"/>
    </row>
    <row r="463" spans="16:30" ht="10.5" customHeight="1">
      <c r="P463" s="150" t="s">
        <v>4739</v>
      </c>
      <c r="Q463" s="150"/>
      <c r="R463" s="98"/>
      <c r="S463" s="146"/>
      <c r="T463" s="284" t="s">
        <v>4136</v>
      </c>
      <c r="U463" s="284" t="s">
        <v>4300</v>
      </c>
      <c r="AA463"/>
      <c r="AB463"/>
      <c r="AC463" s="274"/>
      <c r="AD463" s="40"/>
    </row>
    <row r="464" spans="16:30" ht="10.5" customHeight="1">
      <c r="P464" s="150" t="s">
        <v>4740</v>
      </c>
      <c r="Q464" s="150"/>
      <c r="R464" s="98"/>
      <c r="S464" s="146"/>
      <c r="T464" s="284" t="s">
        <v>3914</v>
      </c>
      <c r="U464" s="284" t="s">
        <v>3851</v>
      </c>
      <c r="AA464"/>
      <c r="AB464"/>
      <c r="AC464" s="274"/>
      <c r="AD464" s="40"/>
    </row>
    <row r="465" spans="16:30" ht="10.5" customHeight="1">
      <c r="P465" s="150" t="s">
        <v>4741</v>
      </c>
      <c r="Q465" s="150"/>
      <c r="R465" s="98"/>
      <c r="S465" s="146"/>
      <c r="T465" s="146" t="s">
        <v>4742</v>
      </c>
      <c r="U465" s="146" t="s">
        <v>4429</v>
      </c>
      <c r="AA465"/>
      <c r="AB465"/>
      <c r="AC465" s="40"/>
      <c r="AD465" s="40"/>
    </row>
    <row r="466" spans="16:30" ht="10.5" customHeight="1">
      <c r="P466" s="150" t="s">
        <v>4743</v>
      </c>
      <c r="Q466" s="150"/>
      <c r="R466" s="98"/>
      <c r="S466" s="146"/>
      <c r="T466" s="146" t="s">
        <v>4744</v>
      </c>
      <c r="U466" s="146" t="s">
        <v>3811</v>
      </c>
      <c r="AA466"/>
      <c r="AB466"/>
      <c r="AC466" s="40"/>
      <c r="AD466" s="40"/>
    </row>
    <row r="467" spans="16:30" ht="10.5" customHeight="1">
      <c r="P467" s="150" t="s">
        <v>4745</v>
      </c>
      <c r="Q467" s="150"/>
      <c r="R467" s="98"/>
      <c r="S467" s="146"/>
      <c r="T467" s="284" t="s">
        <v>4746</v>
      </c>
      <c r="U467" s="284" t="s">
        <v>3991</v>
      </c>
      <c r="AA467"/>
      <c r="AB467"/>
      <c r="AC467" s="274"/>
      <c r="AD467" s="40"/>
    </row>
    <row r="468" spans="16:30" ht="10.5" customHeight="1">
      <c r="P468" s="150" t="s">
        <v>4747</v>
      </c>
      <c r="Q468" s="150"/>
      <c r="R468" s="98"/>
      <c r="S468" s="146"/>
      <c r="T468" s="284" t="s">
        <v>4748</v>
      </c>
      <c r="U468" s="284" t="s">
        <v>4459</v>
      </c>
      <c r="AA468"/>
      <c r="AB468"/>
      <c r="AC468" s="274"/>
      <c r="AD468" s="40"/>
    </row>
    <row r="469" spans="16:30" ht="10.5" customHeight="1">
      <c r="P469" s="150" t="s">
        <v>4749</v>
      </c>
      <c r="Q469" s="150"/>
      <c r="R469" s="98"/>
      <c r="S469" s="146"/>
      <c r="T469" s="284" t="s">
        <v>4750</v>
      </c>
      <c r="U469" s="284" t="s">
        <v>156</v>
      </c>
      <c r="AA469"/>
      <c r="AB469"/>
      <c r="AC469" s="274"/>
      <c r="AD469" s="40"/>
    </row>
    <row r="470" spans="16:30" ht="10.5" customHeight="1">
      <c r="P470" s="150" t="s">
        <v>4751</v>
      </c>
      <c r="Q470" s="150"/>
      <c r="R470" s="98"/>
      <c r="S470" s="146"/>
      <c r="T470" s="284" t="s">
        <v>4752</v>
      </c>
      <c r="U470" s="284" t="s">
        <v>103</v>
      </c>
      <c r="AA470"/>
      <c r="AB470"/>
      <c r="AC470" s="274"/>
      <c r="AD470" s="40"/>
    </row>
    <row r="471" spans="16:30" ht="10.5" customHeight="1">
      <c r="P471" s="150" t="s">
        <v>4753</v>
      </c>
      <c r="Q471" s="150"/>
      <c r="R471" s="98"/>
      <c r="S471" s="146"/>
      <c r="T471" s="284" t="s">
        <v>4754</v>
      </c>
      <c r="U471" s="284" t="s">
        <v>4378</v>
      </c>
      <c r="AA471"/>
      <c r="AB471"/>
      <c r="AC471" s="274"/>
      <c r="AD471" s="40"/>
    </row>
    <row r="472" spans="16:30" ht="10.5" customHeight="1">
      <c r="P472" s="150" t="s">
        <v>4755</v>
      </c>
      <c r="Q472" s="150"/>
      <c r="R472" s="98"/>
      <c r="S472" s="146"/>
      <c r="T472" s="284" t="s">
        <v>4756</v>
      </c>
      <c r="U472" s="284" t="s">
        <v>123</v>
      </c>
      <c r="AA472"/>
      <c r="AB472"/>
      <c r="AC472" s="274"/>
      <c r="AD472" s="40"/>
    </row>
    <row r="473" spans="16:30" ht="10.5" customHeight="1">
      <c r="P473" s="150" t="s">
        <v>4757</v>
      </c>
      <c r="Q473" s="150"/>
      <c r="R473" s="98"/>
      <c r="S473" s="146"/>
      <c r="T473" s="284" t="s">
        <v>4758</v>
      </c>
      <c r="U473" s="284" t="s">
        <v>3805</v>
      </c>
      <c r="AA473"/>
      <c r="AB473"/>
      <c r="AC473" s="274"/>
      <c r="AD473" s="40"/>
    </row>
    <row r="474" spans="16:30" ht="10.5" customHeight="1">
      <c r="P474" s="150" t="s">
        <v>4759</v>
      </c>
      <c r="Q474" s="150"/>
      <c r="R474" s="98"/>
      <c r="S474" s="146"/>
      <c r="T474" s="284" t="s">
        <v>141</v>
      </c>
      <c r="U474" s="284" t="s">
        <v>142</v>
      </c>
      <c r="AA474"/>
      <c r="AB474"/>
      <c r="AC474" s="274"/>
      <c r="AD474" s="40"/>
    </row>
    <row r="475" spans="16:30" ht="10.5" customHeight="1">
      <c r="P475" s="150" t="s">
        <v>4760</v>
      </c>
      <c r="Q475" s="150"/>
      <c r="R475" s="98"/>
      <c r="S475" s="146"/>
      <c r="T475" s="284" t="s">
        <v>4761</v>
      </c>
      <c r="U475" s="284" t="s">
        <v>142</v>
      </c>
      <c r="AA475"/>
      <c r="AB475"/>
      <c r="AC475" s="274"/>
      <c r="AD475" s="40"/>
    </row>
    <row r="476" spans="16:30" ht="10.5" customHeight="1">
      <c r="P476" s="150" t="s">
        <v>4762</v>
      </c>
      <c r="Q476" s="150"/>
      <c r="R476" s="98"/>
      <c r="S476" s="146"/>
      <c r="T476" s="146" t="s">
        <v>4763</v>
      </c>
      <c r="U476" s="146" t="s">
        <v>3731</v>
      </c>
      <c r="AA476"/>
      <c r="AB476"/>
      <c r="AC476" s="40"/>
      <c r="AD476" s="40"/>
    </row>
    <row r="477" spans="16:30" ht="10.5" customHeight="1">
      <c r="P477" s="150" t="s">
        <v>4764</v>
      </c>
      <c r="Q477" s="150"/>
      <c r="R477" s="98"/>
      <c r="S477" s="146"/>
      <c r="T477" s="284" t="s">
        <v>4765</v>
      </c>
      <c r="U477" s="284" t="s">
        <v>3746</v>
      </c>
      <c r="AA477"/>
      <c r="AB477"/>
      <c r="AC477" s="274"/>
      <c r="AD477" s="40"/>
    </row>
    <row r="478" spans="16:30" ht="10.5" customHeight="1">
      <c r="P478" s="150" t="s">
        <v>4766</v>
      </c>
      <c r="Q478" s="150"/>
      <c r="R478" s="98"/>
      <c r="S478" s="146"/>
      <c r="T478" s="284" t="s">
        <v>4767</v>
      </c>
      <c r="U478" s="284" t="s">
        <v>3926</v>
      </c>
      <c r="AA478"/>
      <c r="AB478"/>
      <c r="AC478" s="274"/>
      <c r="AD478" s="40"/>
    </row>
    <row r="479" spans="16:30" ht="10.5" customHeight="1">
      <c r="P479" s="150" t="s">
        <v>4768</v>
      </c>
      <c r="Q479" s="150"/>
      <c r="R479" s="98"/>
      <c r="S479" s="146"/>
      <c r="T479" s="284" t="s">
        <v>4769</v>
      </c>
      <c r="U479" s="284" t="s">
        <v>106</v>
      </c>
      <c r="AA479"/>
      <c r="AB479"/>
      <c r="AC479" s="274"/>
      <c r="AD479" s="40"/>
    </row>
    <row r="480" spans="16:30" ht="10.5" customHeight="1">
      <c r="P480" s="150" t="s">
        <v>4770</v>
      </c>
      <c r="Q480" s="150"/>
      <c r="R480" s="98"/>
      <c r="S480" s="146"/>
      <c r="T480" s="284" t="s">
        <v>4771</v>
      </c>
      <c r="U480" s="284" t="s">
        <v>4421</v>
      </c>
      <c r="AA480"/>
      <c r="AB480"/>
      <c r="AC480" s="274"/>
      <c r="AD480" s="40"/>
    </row>
    <row r="481" spans="16:30" ht="10.5" customHeight="1">
      <c r="P481" s="150" t="s">
        <v>4772</v>
      </c>
      <c r="Q481" s="150"/>
      <c r="R481" s="98"/>
      <c r="S481" s="146"/>
      <c r="T481" s="284" t="s">
        <v>4773</v>
      </c>
      <c r="U481" s="284" t="s">
        <v>103</v>
      </c>
      <c r="AA481"/>
      <c r="AB481"/>
      <c r="AC481" s="274"/>
      <c r="AD481" s="40"/>
    </row>
    <row r="482" spans="16:30" ht="10.5" customHeight="1">
      <c r="P482" s="150" t="s">
        <v>4774</v>
      </c>
      <c r="Q482" s="150"/>
      <c r="R482" s="98"/>
      <c r="S482" s="146"/>
      <c r="T482" s="284" t="s">
        <v>4775</v>
      </c>
      <c r="U482" s="284" t="s">
        <v>154</v>
      </c>
      <c r="AA482"/>
      <c r="AB482"/>
      <c r="AC482" s="274"/>
      <c r="AD482" s="40"/>
    </row>
    <row r="483" spans="16:30" ht="10.5" customHeight="1">
      <c r="P483" s="150" t="s">
        <v>4776</v>
      </c>
      <c r="Q483" s="150"/>
      <c r="R483" s="98"/>
      <c r="S483" s="146"/>
      <c r="T483" s="284" t="s">
        <v>4777</v>
      </c>
      <c r="U483" s="284" t="s">
        <v>4175</v>
      </c>
      <c r="AA483"/>
      <c r="AB483"/>
      <c r="AC483" s="274"/>
      <c r="AD483" s="40"/>
    </row>
    <row r="484" spans="16:30" ht="10.5" customHeight="1">
      <c r="P484" s="150" t="s">
        <v>4778</v>
      </c>
      <c r="Q484" s="150"/>
      <c r="R484" s="98"/>
      <c r="S484" s="146"/>
      <c r="T484" s="284" t="s">
        <v>143</v>
      </c>
      <c r="U484" s="284" t="s">
        <v>137</v>
      </c>
      <c r="AA484"/>
      <c r="AB484"/>
      <c r="AC484" s="274"/>
      <c r="AD484" s="40"/>
    </row>
    <row r="485" spans="16:30" ht="10.5" customHeight="1">
      <c r="P485" s="150" t="s">
        <v>4779</v>
      </c>
      <c r="Q485" s="150"/>
      <c r="R485" s="98"/>
      <c r="S485" s="146"/>
      <c r="T485" s="284" t="s">
        <v>144</v>
      </c>
      <c r="U485" s="284" t="s">
        <v>145</v>
      </c>
      <c r="AA485"/>
      <c r="AB485"/>
      <c r="AC485" s="274"/>
      <c r="AD485" s="40"/>
    </row>
    <row r="486" spans="16:30" ht="10.5" customHeight="1">
      <c r="P486" s="150" t="s">
        <v>4780</v>
      </c>
      <c r="Q486" s="150"/>
      <c r="R486" s="98"/>
      <c r="S486" s="146"/>
      <c r="T486" s="284" t="s">
        <v>4781</v>
      </c>
      <c r="U486" s="284" t="s">
        <v>4034</v>
      </c>
      <c r="AA486"/>
      <c r="AB486"/>
      <c r="AC486" s="274"/>
      <c r="AD486" s="40"/>
    </row>
    <row r="487" spans="16:30" ht="10.5" customHeight="1">
      <c r="P487" s="150" t="s">
        <v>4782</v>
      </c>
      <c r="Q487" s="150"/>
      <c r="R487" s="98"/>
      <c r="S487" s="146"/>
      <c r="T487" s="284" t="s">
        <v>4783</v>
      </c>
      <c r="U487" s="284" t="s">
        <v>3974</v>
      </c>
      <c r="AA487"/>
      <c r="AB487"/>
      <c r="AC487" s="274"/>
      <c r="AD487" s="40"/>
    </row>
    <row r="488" spans="16:30" ht="10.5" customHeight="1">
      <c r="P488" s="150" t="s">
        <v>4784</v>
      </c>
      <c r="Q488" s="150"/>
      <c r="R488" s="98"/>
      <c r="S488" s="146"/>
      <c r="T488" s="284" t="s">
        <v>4785</v>
      </c>
      <c r="U488" s="284" t="s">
        <v>3818</v>
      </c>
      <c r="AA488"/>
      <c r="AB488"/>
      <c r="AC488" s="274"/>
      <c r="AD488" s="40"/>
    </row>
    <row r="489" spans="16:30" ht="10.5" customHeight="1">
      <c r="P489" s="150" t="s">
        <v>4786</v>
      </c>
      <c r="Q489" s="150"/>
      <c r="R489" s="98"/>
      <c r="S489" s="146"/>
      <c r="T489" s="284" t="s">
        <v>4787</v>
      </c>
      <c r="U489" s="284" t="s">
        <v>4186</v>
      </c>
      <c r="AA489"/>
      <c r="AB489"/>
      <c r="AC489" s="274"/>
      <c r="AD489" s="40"/>
    </row>
    <row r="490" spans="16:30" ht="10.5" customHeight="1">
      <c r="P490" s="150" t="s">
        <v>4788</v>
      </c>
      <c r="Q490" s="150"/>
      <c r="R490" s="98"/>
      <c r="S490" s="146"/>
      <c r="T490" s="284" t="s">
        <v>4789</v>
      </c>
      <c r="U490" s="284" t="s">
        <v>3738</v>
      </c>
      <c r="AA490"/>
      <c r="AB490"/>
      <c r="AC490" s="274"/>
      <c r="AD490" s="40"/>
    </row>
    <row r="491" spans="16:30" ht="10.5" customHeight="1">
      <c r="P491" s="150" t="s">
        <v>4790</v>
      </c>
      <c r="Q491" s="150"/>
      <c r="R491" s="98"/>
      <c r="S491" s="146"/>
      <c r="T491" s="284" t="s">
        <v>4791</v>
      </c>
      <c r="U491" s="284" t="s">
        <v>3823</v>
      </c>
      <c r="AA491"/>
      <c r="AB491"/>
      <c r="AC491" s="274"/>
      <c r="AD491" s="40"/>
    </row>
    <row r="492" spans="16:30" ht="10.5" customHeight="1">
      <c r="P492" s="150" t="s">
        <v>4792</v>
      </c>
      <c r="Q492" s="150"/>
      <c r="R492" s="98"/>
      <c r="S492" s="146"/>
      <c r="T492" s="284" t="s">
        <v>4793</v>
      </c>
      <c r="U492" s="284" t="s">
        <v>3867</v>
      </c>
      <c r="AA492"/>
      <c r="AB492"/>
      <c r="AC492" s="274"/>
      <c r="AD492" s="40"/>
    </row>
    <row r="493" spans="16:30" ht="10.5" customHeight="1">
      <c r="P493" s="150" t="s">
        <v>4794</v>
      </c>
      <c r="Q493" s="150"/>
      <c r="R493" s="98"/>
      <c r="S493" s="146"/>
      <c r="T493" s="284" t="s">
        <v>4795</v>
      </c>
      <c r="U493" s="284" t="s">
        <v>3974</v>
      </c>
      <c r="AA493"/>
      <c r="AB493"/>
      <c r="AC493" s="274"/>
      <c r="AD493" s="40"/>
    </row>
    <row r="494" spans="16:30" ht="10.5" customHeight="1">
      <c r="P494" s="150" t="s">
        <v>4796</v>
      </c>
      <c r="Q494" s="150"/>
      <c r="R494" s="98"/>
      <c r="S494" s="146"/>
      <c r="T494" s="146" t="s">
        <v>4797</v>
      </c>
      <c r="U494" s="146" t="s">
        <v>3961</v>
      </c>
      <c r="AA494"/>
      <c r="AB494"/>
      <c r="AC494" s="40"/>
      <c r="AD494" s="40"/>
    </row>
    <row r="495" spans="16:30" ht="10.5" customHeight="1">
      <c r="P495" s="150" t="s">
        <v>4798</v>
      </c>
      <c r="Q495" s="150"/>
      <c r="R495" s="98"/>
      <c r="S495" s="146"/>
      <c r="T495" s="284" t="s">
        <v>146</v>
      </c>
      <c r="U495" s="284" t="s">
        <v>133</v>
      </c>
      <c r="AA495"/>
      <c r="AB495"/>
      <c r="AC495" s="274"/>
      <c r="AD495" s="40"/>
    </row>
    <row r="496" spans="16:30" ht="10.5" customHeight="1">
      <c r="P496" s="150" t="s">
        <v>4799</v>
      </c>
      <c r="Q496" s="150"/>
      <c r="R496" s="98"/>
      <c r="S496" s="146"/>
      <c r="T496" s="284" t="s">
        <v>4800</v>
      </c>
      <c r="U496" s="284" t="s">
        <v>4196</v>
      </c>
      <c r="AA496"/>
      <c r="AB496"/>
      <c r="AC496" s="274"/>
      <c r="AD496" s="40"/>
    </row>
    <row r="497" spans="16:30" ht="10.5" customHeight="1">
      <c r="P497" s="150" t="s">
        <v>4801</v>
      </c>
      <c r="Q497" s="150"/>
      <c r="R497" s="98"/>
      <c r="S497" s="146"/>
      <c r="T497" s="284" t="s">
        <v>4802</v>
      </c>
      <c r="U497" s="284" t="s">
        <v>106</v>
      </c>
      <c r="AA497"/>
      <c r="AB497"/>
      <c r="AC497" s="274"/>
      <c r="AD497" s="40"/>
    </row>
    <row r="498" spans="16:30" ht="10.5" customHeight="1">
      <c r="P498" s="150" t="s">
        <v>4803</v>
      </c>
      <c r="Q498" s="150"/>
      <c r="R498" s="98"/>
      <c r="S498" s="146"/>
      <c r="T498" s="284" t="s">
        <v>147</v>
      </c>
      <c r="U498" s="284" t="s">
        <v>148</v>
      </c>
      <c r="AA498"/>
      <c r="AB498"/>
      <c r="AC498" s="274"/>
      <c r="AD498" s="40"/>
    </row>
    <row r="499" spans="16:30" ht="10.5" customHeight="1">
      <c r="P499" s="150" t="s">
        <v>4804</v>
      </c>
      <c r="Q499" s="150"/>
      <c r="R499" s="98"/>
      <c r="S499" s="146"/>
      <c r="T499" s="284" t="s">
        <v>2183</v>
      </c>
      <c r="U499" s="284" t="s">
        <v>98</v>
      </c>
      <c r="AA499"/>
      <c r="AB499"/>
      <c r="AC499" s="274"/>
      <c r="AD499" s="40"/>
    </row>
    <row r="500" spans="16:30" ht="10.5" customHeight="1">
      <c r="P500" s="150" t="s">
        <v>4805</v>
      </c>
      <c r="Q500" s="150"/>
      <c r="R500" s="98"/>
      <c r="S500" s="146"/>
      <c r="T500" s="284" t="s">
        <v>4806</v>
      </c>
      <c r="U500" s="284" t="s">
        <v>101</v>
      </c>
      <c r="AA500"/>
      <c r="AB500"/>
      <c r="AC500" s="274"/>
      <c r="AD500" s="40"/>
    </row>
    <row r="501" spans="16:30" ht="10.5" customHeight="1">
      <c r="P501" s="150" t="s">
        <v>4807</v>
      </c>
      <c r="Q501" s="150"/>
      <c r="R501" s="98"/>
      <c r="S501" s="146"/>
      <c r="T501" s="284" t="s">
        <v>4808</v>
      </c>
      <c r="U501" s="284" t="s">
        <v>3991</v>
      </c>
      <c r="AA501"/>
      <c r="AB501"/>
      <c r="AC501" s="274"/>
      <c r="AD501" s="40"/>
    </row>
    <row r="502" spans="16:30" ht="10.5" customHeight="1">
      <c r="P502" s="150" t="s">
        <v>4809</v>
      </c>
      <c r="Q502" s="150"/>
      <c r="R502" s="98"/>
      <c r="S502" s="146"/>
      <c r="T502" s="284" t="s">
        <v>4810</v>
      </c>
      <c r="U502" s="284" t="s">
        <v>4241</v>
      </c>
      <c r="AA502"/>
      <c r="AB502"/>
      <c r="AC502" s="274"/>
      <c r="AD502" s="40"/>
    </row>
    <row r="503" spans="16:30" ht="10.5" customHeight="1">
      <c r="P503" s="150" t="s">
        <v>4811</v>
      </c>
      <c r="Q503" s="150"/>
      <c r="R503" s="98"/>
      <c r="S503" s="146"/>
      <c r="T503" s="146" t="s">
        <v>4812</v>
      </c>
      <c r="U503" s="146" t="s">
        <v>106</v>
      </c>
      <c r="AA503"/>
      <c r="AB503"/>
      <c r="AC503" s="40"/>
      <c r="AD503" s="40"/>
    </row>
    <row r="504" spans="16:30" ht="10.5" customHeight="1">
      <c r="P504" s="150" t="s">
        <v>4813</v>
      </c>
      <c r="Q504" s="150"/>
      <c r="R504" s="98"/>
      <c r="S504" s="146"/>
      <c r="T504" s="284" t="s">
        <v>4814</v>
      </c>
      <c r="U504" s="284" t="s">
        <v>3914</v>
      </c>
      <c r="AA504"/>
      <c r="AB504"/>
      <c r="AC504" s="274"/>
      <c r="AD504" s="40"/>
    </row>
    <row r="505" spans="16:30" ht="10.5" customHeight="1">
      <c r="P505" s="150" t="s">
        <v>4815</v>
      </c>
      <c r="Q505" s="150"/>
      <c r="R505" s="98"/>
      <c r="S505" s="146"/>
      <c r="T505" s="284" t="s">
        <v>4816</v>
      </c>
      <c r="U505" s="284" t="s">
        <v>103</v>
      </c>
      <c r="AA505"/>
      <c r="AB505"/>
      <c r="AC505" s="274"/>
      <c r="AD505" s="40"/>
    </row>
    <row r="506" spans="16:30" ht="10.5" customHeight="1">
      <c r="P506" s="150" t="s">
        <v>4817</v>
      </c>
      <c r="Q506" s="150"/>
      <c r="R506" s="98"/>
      <c r="S506" s="146"/>
      <c r="T506" s="284" t="s">
        <v>4818</v>
      </c>
      <c r="U506" s="284" t="s">
        <v>4203</v>
      </c>
      <c r="AA506"/>
      <c r="AB506"/>
      <c r="AC506" s="274"/>
      <c r="AD506" s="40"/>
    </row>
    <row r="507" spans="16:30" ht="10.5" customHeight="1">
      <c r="P507" s="150" t="s">
        <v>4819</v>
      </c>
      <c r="Q507" s="150"/>
      <c r="R507" s="98"/>
      <c r="S507" s="146"/>
      <c r="T507" s="284" t="s">
        <v>4820</v>
      </c>
      <c r="U507" s="284" t="s">
        <v>4085</v>
      </c>
      <c r="AA507"/>
      <c r="AB507"/>
      <c r="AC507" s="274"/>
      <c r="AD507" s="40"/>
    </row>
    <row r="508" spans="16:30" ht="10.5" customHeight="1">
      <c r="P508" s="150" t="s">
        <v>4821</v>
      </c>
      <c r="Q508" s="150"/>
      <c r="R508" s="98"/>
      <c r="S508" s="146"/>
      <c r="T508" s="284" t="s">
        <v>4822</v>
      </c>
      <c r="U508" s="284" t="s">
        <v>4394</v>
      </c>
      <c r="AA508"/>
      <c r="AB508"/>
      <c r="AC508" s="274"/>
      <c r="AD508" s="40"/>
    </row>
    <row r="509" spans="16:30" ht="10.5" customHeight="1">
      <c r="P509" s="150" t="s">
        <v>4823</v>
      </c>
      <c r="Q509" s="150"/>
      <c r="R509" s="98"/>
      <c r="S509" s="146"/>
      <c r="T509" s="284" t="s">
        <v>4212</v>
      </c>
      <c r="U509" s="284" t="s">
        <v>4371</v>
      </c>
      <c r="AA509"/>
      <c r="AB509"/>
      <c r="AC509" s="274"/>
      <c r="AD509" s="40"/>
    </row>
    <row r="510" spans="16:30" ht="10.5" customHeight="1">
      <c r="P510" s="150" t="s">
        <v>4824</v>
      </c>
      <c r="Q510" s="150"/>
      <c r="R510" s="98"/>
      <c r="S510" s="146"/>
      <c r="T510" s="284" t="s">
        <v>4825</v>
      </c>
      <c r="U510" s="284" t="s">
        <v>4241</v>
      </c>
      <c r="AA510"/>
      <c r="AB510"/>
      <c r="AC510" s="274"/>
      <c r="AD510" s="40"/>
    </row>
    <row r="511" spans="16:30" ht="10.5" customHeight="1">
      <c r="P511" s="150" t="s">
        <v>4826</v>
      </c>
      <c r="Q511" s="150"/>
      <c r="R511" s="98"/>
      <c r="S511" s="146"/>
      <c r="T511" s="284" t="s">
        <v>4827</v>
      </c>
      <c r="U511" s="284" t="s">
        <v>3862</v>
      </c>
      <c r="AA511"/>
      <c r="AB511"/>
      <c r="AC511" s="274"/>
      <c r="AD511" s="40"/>
    </row>
    <row r="512" spans="16:30" ht="10.5" customHeight="1">
      <c r="P512" s="150" t="s">
        <v>4828</v>
      </c>
      <c r="Q512" s="150"/>
      <c r="R512" s="98"/>
      <c r="S512" s="146"/>
      <c r="T512" s="284" t="s">
        <v>4829</v>
      </c>
      <c r="U512" s="284" t="s">
        <v>4408</v>
      </c>
      <c r="AA512"/>
      <c r="AB512"/>
      <c r="AC512" s="274"/>
      <c r="AD512" s="40"/>
    </row>
    <row r="513" spans="16:30" ht="10.5" customHeight="1">
      <c r="P513" s="150" t="s">
        <v>4830</v>
      </c>
      <c r="Q513" s="150"/>
      <c r="R513" s="98"/>
      <c r="S513" s="146"/>
      <c r="T513" s="284" t="s">
        <v>149</v>
      </c>
      <c r="U513" s="284" t="s">
        <v>123</v>
      </c>
      <c r="AA513"/>
      <c r="AB513"/>
      <c r="AC513" s="274"/>
      <c r="AD513" s="40"/>
    </row>
    <row r="514" spans="16:30" ht="10.5" customHeight="1">
      <c r="P514" s="150" t="s">
        <v>4831</v>
      </c>
      <c r="Q514" s="150"/>
      <c r="R514" s="98"/>
      <c r="S514" s="146"/>
      <c r="T514" s="284" t="s">
        <v>2735</v>
      </c>
      <c r="U514" s="284" t="s">
        <v>3767</v>
      </c>
      <c r="AA514"/>
      <c r="AB514"/>
      <c r="AC514" s="274"/>
      <c r="AD514" s="40"/>
    </row>
    <row r="515" spans="16:30" ht="10.5" customHeight="1">
      <c r="P515" s="150" t="s">
        <v>4832</v>
      </c>
      <c r="Q515" s="150"/>
      <c r="R515" s="98"/>
      <c r="S515" s="146"/>
      <c r="T515" s="284" t="s">
        <v>2185</v>
      </c>
      <c r="U515" s="284" t="s">
        <v>4068</v>
      </c>
      <c r="AA515"/>
      <c r="AB515"/>
      <c r="AC515" s="274"/>
      <c r="AD515" s="40"/>
    </row>
    <row r="516" spans="16:30" ht="10.5" customHeight="1">
      <c r="P516" s="150" t="s">
        <v>4833</v>
      </c>
      <c r="Q516" s="150"/>
      <c r="R516" s="98"/>
      <c r="S516" s="146"/>
      <c r="T516" s="284" t="s">
        <v>4834</v>
      </c>
      <c r="U516" s="284" t="s">
        <v>4345</v>
      </c>
      <c r="AA516"/>
      <c r="AB516"/>
      <c r="AC516" s="274"/>
      <c r="AD516" s="40"/>
    </row>
    <row r="517" spans="16:30" ht="10.5" customHeight="1">
      <c r="P517" s="150" t="s">
        <v>4835</v>
      </c>
      <c r="Q517" s="150"/>
      <c r="R517" s="98"/>
      <c r="S517" s="146"/>
      <c r="T517" s="284" t="s">
        <v>4836</v>
      </c>
      <c r="U517" s="284" t="s">
        <v>4241</v>
      </c>
      <c r="AA517"/>
      <c r="AB517"/>
      <c r="AC517" s="274"/>
      <c r="AD517" s="40"/>
    </row>
    <row r="518" spans="16:30" ht="10.5" customHeight="1">
      <c r="P518" s="150" t="s">
        <v>4837</v>
      </c>
      <c r="Q518" s="150"/>
      <c r="R518" s="98"/>
      <c r="S518" s="146"/>
      <c r="T518" s="284" t="s">
        <v>4838</v>
      </c>
      <c r="U518" s="284" t="s">
        <v>4280</v>
      </c>
      <c r="AA518"/>
      <c r="AB518"/>
      <c r="AC518" s="274"/>
      <c r="AD518" s="40"/>
    </row>
    <row r="519" spans="16:30" ht="10.5" customHeight="1">
      <c r="P519" s="150" t="s">
        <v>4839</v>
      </c>
      <c r="Q519" s="150"/>
      <c r="R519" s="98"/>
      <c r="S519" s="146"/>
      <c r="T519" s="284" t="s">
        <v>4840</v>
      </c>
      <c r="U519" s="284" t="s">
        <v>123</v>
      </c>
      <c r="AA519"/>
      <c r="AB519"/>
      <c r="AC519" s="274"/>
      <c r="AD519" s="40"/>
    </row>
    <row r="520" spans="16:30" ht="10.5" customHeight="1">
      <c r="P520" s="150" t="s">
        <v>4841</v>
      </c>
      <c r="Q520" s="150"/>
      <c r="R520" s="98"/>
      <c r="S520" s="146"/>
      <c r="T520" s="318" t="s">
        <v>4842</v>
      </c>
      <c r="U520" s="284" t="s">
        <v>2735</v>
      </c>
      <c r="AA520"/>
      <c r="AB520"/>
      <c r="AC520" s="538"/>
      <c r="AD520" s="40"/>
    </row>
    <row r="521" spans="16:30" ht="10.5" customHeight="1">
      <c r="P521" s="150" t="s">
        <v>4843</v>
      </c>
      <c r="Q521" s="150"/>
      <c r="R521" s="98"/>
      <c r="S521" s="146"/>
      <c r="T521" s="318" t="s">
        <v>4844</v>
      </c>
      <c r="U521" s="284" t="s">
        <v>3909</v>
      </c>
      <c r="AA521"/>
      <c r="AB521"/>
      <c r="AC521" s="538"/>
      <c r="AD521" s="40"/>
    </row>
    <row r="522" spans="16:30" ht="10.5" customHeight="1">
      <c r="P522" s="150" t="s">
        <v>4845</v>
      </c>
      <c r="Q522" s="150"/>
      <c r="R522" s="98"/>
      <c r="S522" s="146"/>
      <c r="T522" s="284" t="s">
        <v>150</v>
      </c>
      <c r="U522" s="284" t="s">
        <v>120</v>
      </c>
      <c r="AA522"/>
      <c r="AB522"/>
      <c r="AC522" s="274"/>
      <c r="AD522" s="40"/>
    </row>
    <row r="523" spans="16:30" ht="10.5" customHeight="1">
      <c r="P523" s="150" t="s">
        <v>4846</v>
      </c>
      <c r="Q523" s="150"/>
      <c r="R523" s="98"/>
      <c r="S523" s="146"/>
      <c r="T523" s="284" t="s">
        <v>4847</v>
      </c>
      <c r="U523" s="284" t="s">
        <v>3914</v>
      </c>
      <c r="AA523"/>
      <c r="AB523"/>
      <c r="AC523" s="274"/>
      <c r="AD523" s="40"/>
    </row>
    <row r="524" spans="16:30" ht="10.5" customHeight="1">
      <c r="P524" s="150" t="s">
        <v>4848</v>
      </c>
      <c r="Q524" s="150"/>
      <c r="R524" s="98"/>
      <c r="S524" s="146"/>
      <c r="T524" s="284" t="s">
        <v>4849</v>
      </c>
      <c r="U524" s="284" t="s">
        <v>3867</v>
      </c>
      <c r="AA524"/>
      <c r="AB524"/>
      <c r="AC524" s="274"/>
      <c r="AD524" s="40"/>
    </row>
    <row r="525" spans="16:30" ht="10.5" customHeight="1">
      <c r="P525" s="150" t="s">
        <v>4850</v>
      </c>
      <c r="Q525" s="150"/>
      <c r="R525" s="98"/>
      <c r="S525" s="146"/>
      <c r="T525" s="284" t="s">
        <v>4851</v>
      </c>
      <c r="U525" s="284" t="s">
        <v>3740</v>
      </c>
      <c r="AA525"/>
      <c r="AB525"/>
      <c r="AC525" s="274"/>
      <c r="AD525" s="40"/>
    </row>
    <row r="526" spans="16:30" ht="10.5" customHeight="1">
      <c r="P526" s="150" t="s">
        <v>4852</v>
      </c>
      <c r="Q526" s="150"/>
      <c r="R526" s="98"/>
      <c r="S526" s="146"/>
      <c r="T526" s="146" t="s">
        <v>4853</v>
      </c>
      <c r="U526" s="146" t="s">
        <v>4013</v>
      </c>
      <c r="AA526"/>
      <c r="AB526"/>
      <c r="AC526" s="40"/>
      <c r="AD526" s="40"/>
    </row>
    <row r="527" spans="16:30" ht="10.5" customHeight="1">
      <c r="P527" s="150" t="s">
        <v>4854</v>
      </c>
      <c r="Q527" s="150"/>
      <c r="R527" s="98"/>
      <c r="S527" s="146"/>
      <c r="T527" s="284" t="s">
        <v>4855</v>
      </c>
      <c r="U527" s="284" t="s">
        <v>101</v>
      </c>
      <c r="AA527"/>
      <c r="AB527"/>
      <c r="AC527" s="274"/>
      <c r="AD527" s="40"/>
    </row>
    <row r="528" spans="16:30" ht="10.5" customHeight="1">
      <c r="P528" s="150" t="s">
        <v>4856</v>
      </c>
      <c r="Q528" s="150"/>
      <c r="R528" s="98"/>
      <c r="S528" s="146"/>
      <c r="T528" s="284" t="s">
        <v>4857</v>
      </c>
      <c r="U528" s="284" t="s">
        <v>3786</v>
      </c>
      <c r="AA528"/>
      <c r="AB528"/>
      <c r="AC528" s="274"/>
      <c r="AD528" s="40"/>
    </row>
    <row r="529" spans="16:30" ht="10.5" customHeight="1">
      <c r="P529" s="150" t="s">
        <v>4858</v>
      </c>
      <c r="Q529" s="150"/>
      <c r="R529" s="98"/>
      <c r="S529" s="146"/>
      <c r="T529" s="146" t="s">
        <v>2186</v>
      </c>
      <c r="U529" s="146" t="s">
        <v>4394</v>
      </c>
      <c r="AA529"/>
      <c r="AB529"/>
      <c r="AC529" s="40"/>
      <c r="AD529" s="40"/>
    </row>
    <row r="530" spans="16:30" ht="10.5" customHeight="1">
      <c r="P530" s="150" t="s">
        <v>4859</v>
      </c>
      <c r="Q530" s="150"/>
      <c r="R530" s="98"/>
      <c r="S530" s="146"/>
      <c r="T530" s="284" t="s">
        <v>4860</v>
      </c>
      <c r="U530" s="284" t="s">
        <v>135</v>
      </c>
      <c r="AA530"/>
      <c r="AB530"/>
      <c r="AC530" s="274"/>
      <c r="AD530" s="40"/>
    </row>
    <row r="531" spans="16:30" ht="10.5" customHeight="1">
      <c r="P531" s="150" t="s">
        <v>4861</v>
      </c>
      <c r="Q531" s="150"/>
      <c r="R531" s="98"/>
      <c r="S531" s="146"/>
      <c r="T531" s="284" t="s">
        <v>4862</v>
      </c>
      <c r="U531" s="284" t="s">
        <v>3953</v>
      </c>
      <c r="AA531"/>
      <c r="AB531"/>
      <c r="AC531" s="274"/>
      <c r="AD531" s="40"/>
    </row>
    <row r="532" spans="16:30" ht="10.5" customHeight="1">
      <c r="P532" s="150" t="s">
        <v>4863</v>
      </c>
      <c r="Q532" s="150"/>
      <c r="R532" s="98"/>
      <c r="S532" s="146"/>
      <c r="T532" s="284" t="s">
        <v>4864</v>
      </c>
      <c r="U532" s="284" t="s">
        <v>4345</v>
      </c>
      <c r="AA532"/>
      <c r="AB532"/>
      <c r="AC532" s="274"/>
      <c r="AD532" s="40"/>
    </row>
    <row r="533" spans="16:30" ht="10.5" customHeight="1">
      <c r="P533" s="150" t="s">
        <v>4865</v>
      </c>
      <c r="Q533" s="150"/>
      <c r="R533" s="98"/>
      <c r="S533" s="146"/>
      <c r="T533" s="284" t="s">
        <v>4866</v>
      </c>
      <c r="U533" s="284" t="s">
        <v>3862</v>
      </c>
      <c r="AA533"/>
      <c r="AB533"/>
      <c r="AC533" s="274"/>
      <c r="AD533" s="40"/>
    </row>
    <row r="534" spans="16:30" ht="10.5" customHeight="1">
      <c r="P534" s="150" t="s">
        <v>4867</v>
      </c>
      <c r="Q534" s="150"/>
      <c r="R534" s="98"/>
      <c r="S534" s="146"/>
      <c r="T534" s="284" t="s">
        <v>4868</v>
      </c>
      <c r="U534" s="284" t="s">
        <v>3829</v>
      </c>
      <c r="AA534"/>
      <c r="AB534"/>
      <c r="AC534" s="274"/>
      <c r="AD534" s="40"/>
    </row>
    <row r="535" spans="16:30" ht="10.5" customHeight="1">
      <c r="P535" s="150" t="s">
        <v>4869</v>
      </c>
      <c r="Q535" s="150"/>
      <c r="R535" s="98"/>
      <c r="S535" s="146"/>
      <c r="T535" s="284" t="s">
        <v>4870</v>
      </c>
      <c r="U535" s="284" t="s">
        <v>3805</v>
      </c>
      <c r="AA535"/>
      <c r="AB535"/>
      <c r="AC535" s="274"/>
      <c r="AD535" s="40"/>
    </row>
    <row r="536" spans="16:30" ht="10.5" customHeight="1">
      <c r="P536" s="150" t="s">
        <v>4871</v>
      </c>
      <c r="Q536" s="150"/>
      <c r="R536" s="98"/>
      <c r="S536" s="146"/>
      <c r="T536" s="284" t="s">
        <v>4872</v>
      </c>
      <c r="U536" s="284" t="s">
        <v>126</v>
      </c>
      <c r="AA536"/>
      <c r="AB536"/>
      <c r="AC536" s="274"/>
      <c r="AD536" s="40"/>
    </row>
    <row r="537" spans="16:30" ht="10.5" customHeight="1">
      <c r="P537" s="150" t="s">
        <v>4873</v>
      </c>
      <c r="Q537" s="150"/>
      <c r="R537" s="98"/>
      <c r="S537" s="146"/>
      <c r="T537" s="284" t="s">
        <v>4874</v>
      </c>
      <c r="U537" s="284" t="s">
        <v>4394</v>
      </c>
      <c r="AA537"/>
      <c r="AB537"/>
      <c r="AC537" s="274"/>
      <c r="AD537" s="40"/>
    </row>
    <row r="538" spans="16:30" ht="10.5" customHeight="1">
      <c r="P538" s="150" t="s">
        <v>4875</v>
      </c>
      <c r="Q538" s="150"/>
      <c r="R538" s="98"/>
      <c r="S538" s="146"/>
      <c r="T538" s="284" t="s">
        <v>4876</v>
      </c>
      <c r="U538" s="284" t="s">
        <v>3733</v>
      </c>
      <c r="AA538"/>
      <c r="AB538"/>
      <c r="AC538" s="274"/>
      <c r="AD538" s="40"/>
    </row>
    <row r="539" spans="16:30" ht="10.5" customHeight="1">
      <c r="P539" s="150" t="s">
        <v>4877</v>
      </c>
      <c r="Q539" s="150"/>
      <c r="R539" s="98"/>
      <c r="S539" s="146"/>
      <c r="T539" s="284" t="s">
        <v>2188</v>
      </c>
      <c r="U539" s="284" t="s">
        <v>4153</v>
      </c>
      <c r="AA539"/>
      <c r="AB539"/>
      <c r="AC539" s="274"/>
      <c r="AD539" s="40"/>
    </row>
    <row r="540" spans="16:30" ht="10.5" customHeight="1">
      <c r="P540" s="150" t="s">
        <v>4878</v>
      </c>
      <c r="Q540" s="150"/>
      <c r="R540" s="98"/>
      <c r="S540" s="146"/>
      <c r="T540" s="284" t="s">
        <v>4879</v>
      </c>
      <c r="U540" s="284" t="s">
        <v>3773</v>
      </c>
      <c r="AA540"/>
      <c r="AB540"/>
      <c r="AC540" s="274"/>
      <c r="AD540" s="40"/>
    </row>
    <row r="541" spans="16:30" ht="10.5" customHeight="1">
      <c r="P541" s="150" t="s">
        <v>4880</v>
      </c>
      <c r="Q541" s="150"/>
      <c r="R541" s="98"/>
      <c r="S541" s="146"/>
      <c r="T541" s="146" t="s">
        <v>4881</v>
      </c>
      <c r="U541" s="146" t="s">
        <v>156</v>
      </c>
      <c r="AA541"/>
      <c r="AB541"/>
      <c r="AC541" s="40"/>
      <c r="AD541" s="40"/>
    </row>
    <row r="542" spans="16:30" ht="10.5" customHeight="1">
      <c r="P542" s="150" t="s">
        <v>4882</v>
      </c>
      <c r="Q542" s="150"/>
      <c r="R542" s="98"/>
      <c r="S542" s="146"/>
      <c r="T542" s="284" t="s">
        <v>4883</v>
      </c>
      <c r="U542" s="284" t="s">
        <v>4013</v>
      </c>
      <c r="AA542"/>
      <c r="AB542"/>
      <c r="AC542" s="274"/>
      <c r="AD542" s="40"/>
    </row>
    <row r="543" spans="16:30" ht="10.5" customHeight="1">
      <c r="P543" s="150" t="s">
        <v>4884</v>
      </c>
      <c r="Q543" s="150"/>
      <c r="R543" s="98"/>
      <c r="S543" s="146"/>
      <c r="T543" s="284" t="s">
        <v>3924</v>
      </c>
      <c r="U543" s="284" t="s">
        <v>4048</v>
      </c>
      <c r="AA543"/>
      <c r="AB543"/>
      <c r="AC543" s="274"/>
      <c r="AD543" s="40"/>
    </row>
    <row r="544" spans="16:30" ht="10.5" customHeight="1">
      <c r="P544" s="150" t="s">
        <v>4885</v>
      </c>
      <c r="Q544" s="150"/>
      <c r="R544" s="98"/>
      <c r="S544" s="146"/>
      <c r="T544" s="284" t="s">
        <v>4886</v>
      </c>
      <c r="U544" s="284" t="s">
        <v>135</v>
      </c>
      <c r="AA544"/>
      <c r="AB544"/>
      <c r="AC544" s="274"/>
      <c r="AD544" s="40"/>
    </row>
    <row r="545" spans="16:30" ht="10.5" customHeight="1">
      <c r="P545" s="150" t="s">
        <v>4887</v>
      </c>
      <c r="Q545" s="150"/>
      <c r="R545" s="98"/>
      <c r="S545" s="146"/>
      <c r="T545" s="284" t="s">
        <v>4256</v>
      </c>
      <c r="U545" s="284" t="s">
        <v>3991</v>
      </c>
      <c r="AA545"/>
      <c r="AB545"/>
      <c r="AC545" s="274"/>
      <c r="AD545" s="40"/>
    </row>
    <row r="546" spans="16:30" ht="10.5" customHeight="1">
      <c r="P546" s="150" t="s">
        <v>4888</v>
      </c>
      <c r="Q546" s="150"/>
      <c r="R546" s="98"/>
      <c r="S546" s="146"/>
      <c r="T546" s="284" t="s">
        <v>4889</v>
      </c>
      <c r="U546" s="284" t="s">
        <v>2735</v>
      </c>
      <c r="AA546"/>
      <c r="AB546"/>
      <c r="AC546" s="274"/>
      <c r="AD546" s="40"/>
    </row>
    <row r="547" spans="16:30" ht="10.5" customHeight="1">
      <c r="P547" s="150" t="s">
        <v>4890</v>
      </c>
      <c r="Q547" s="150"/>
      <c r="R547" s="98"/>
      <c r="S547" s="146"/>
      <c r="T547" s="284" t="s">
        <v>152</v>
      </c>
      <c r="U547" s="284" t="s">
        <v>140</v>
      </c>
      <c r="AA547"/>
      <c r="AB547"/>
      <c r="AC547" s="274"/>
      <c r="AD547" s="40"/>
    </row>
    <row r="548" spans="16:30" ht="10.5" customHeight="1">
      <c r="P548" s="150" t="s">
        <v>4891</v>
      </c>
      <c r="Q548" s="150"/>
      <c r="R548" s="98"/>
      <c r="S548" s="146"/>
      <c r="T548" s="284" t="s">
        <v>4892</v>
      </c>
      <c r="U548" s="284" t="s">
        <v>4136</v>
      </c>
      <c r="AA548"/>
      <c r="AB548"/>
      <c r="AC548" s="274"/>
      <c r="AD548" s="40"/>
    </row>
    <row r="549" spans="16:30" ht="10.5" customHeight="1">
      <c r="P549" s="150" t="s">
        <v>4893</v>
      </c>
      <c r="Q549" s="150"/>
      <c r="R549" s="98"/>
      <c r="S549" s="146"/>
      <c r="T549" s="284" t="s">
        <v>4894</v>
      </c>
      <c r="U549" s="284" t="s">
        <v>4179</v>
      </c>
      <c r="AA549"/>
      <c r="AB549"/>
      <c r="AC549" s="274"/>
      <c r="AD549" s="40"/>
    </row>
    <row r="550" spans="16:30" ht="10.5" customHeight="1">
      <c r="P550" s="150" t="s">
        <v>4895</v>
      </c>
      <c r="Q550" s="150"/>
      <c r="R550" s="98"/>
      <c r="S550" s="146"/>
      <c r="T550" s="284" t="s">
        <v>153</v>
      </c>
      <c r="U550" s="284" t="s">
        <v>154</v>
      </c>
      <c r="AA550"/>
      <c r="AB550"/>
      <c r="AC550" s="274"/>
      <c r="AD550" s="40"/>
    </row>
    <row r="551" spans="16:30" ht="10.5" customHeight="1">
      <c r="P551" s="150" t="s">
        <v>4896</v>
      </c>
      <c r="Q551" s="150"/>
      <c r="R551" s="98"/>
      <c r="S551" s="146"/>
      <c r="T551" s="284" t="s">
        <v>4897</v>
      </c>
      <c r="U551" s="284" t="s">
        <v>118</v>
      </c>
      <c r="AA551"/>
      <c r="AB551"/>
      <c r="AC551" s="274"/>
      <c r="AD551" s="40"/>
    </row>
    <row r="552" spans="16:30" ht="10.5" customHeight="1">
      <c r="P552" s="150" t="s">
        <v>4898</v>
      </c>
      <c r="Q552" s="150"/>
      <c r="R552" s="98"/>
      <c r="S552" s="146"/>
      <c r="T552" s="284" t="s">
        <v>4068</v>
      </c>
      <c r="U552" s="284" t="s">
        <v>3818</v>
      </c>
      <c r="AA552"/>
      <c r="AB552"/>
      <c r="AC552" s="274"/>
      <c r="AD552" s="40"/>
    </row>
    <row r="553" spans="16:30" ht="10.5" customHeight="1">
      <c r="P553" s="150" t="s">
        <v>4899</v>
      </c>
      <c r="Q553" s="150"/>
      <c r="R553" s="98"/>
      <c r="S553" s="146"/>
      <c r="T553" s="284" t="s">
        <v>4900</v>
      </c>
      <c r="U553" s="284" t="s">
        <v>4013</v>
      </c>
      <c r="AA553"/>
      <c r="AB553"/>
      <c r="AC553" s="274"/>
      <c r="AD553" s="40"/>
    </row>
    <row r="554" spans="16:30" ht="10.5" customHeight="1">
      <c r="P554" s="150" t="s">
        <v>4901</v>
      </c>
      <c r="Q554" s="150"/>
      <c r="R554" s="98"/>
      <c r="S554" s="146"/>
      <c r="T554" s="146" t="s">
        <v>4902</v>
      </c>
      <c r="U554" s="146" t="s">
        <v>103</v>
      </c>
      <c r="AA554"/>
      <c r="AB554"/>
      <c r="AC554" s="40"/>
      <c r="AD554" s="40"/>
    </row>
    <row r="555" spans="16:30" ht="10.5" customHeight="1">
      <c r="P555" s="150" t="s">
        <v>4903</v>
      </c>
      <c r="Q555" s="150"/>
      <c r="R555" s="98"/>
      <c r="S555" s="146"/>
      <c r="T555" s="146" t="s">
        <v>4904</v>
      </c>
      <c r="U555" s="146" t="s">
        <v>3788</v>
      </c>
      <c r="AA555"/>
      <c r="AB555"/>
      <c r="AC555" s="40"/>
      <c r="AD555" s="40"/>
    </row>
    <row r="556" spans="16:30" ht="10.5" customHeight="1">
      <c r="P556" s="150" t="s">
        <v>4905</v>
      </c>
      <c r="Q556" s="150"/>
      <c r="R556" s="98"/>
      <c r="S556" s="146"/>
      <c r="T556" s="146" t="s">
        <v>4906</v>
      </c>
      <c r="U556" s="146" t="s">
        <v>3904</v>
      </c>
      <c r="AA556"/>
      <c r="AB556"/>
      <c r="AC556" s="40"/>
      <c r="AD556" s="40"/>
    </row>
    <row r="557" spans="16:30" ht="10.5" customHeight="1">
      <c r="P557" s="150" t="s">
        <v>4907</v>
      </c>
      <c r="Q557" s="150"/>
      <c r="R557" s="98"/>
      <c r="S557" s="146"/>
      <c r="T557" s="284" t="s">
        <v>4908</v>
      </c>
      <c r="U557" s="284" t="s">
        <v>166</v>
      </c>
      <c r="AA557"/>
      <c r="AB557"/>
      <c r="AC557" s="274"/>
      <c r="AD557" s="40"/>
    </row>
    <row r="558" spans="16:30" ht="10.5" customHeight="1">
      <c r="P558" s="150" t="s">
        <v>4909</v>
      </c>
      <c r="Q558" s="150"/>
      <c r="R558" s="98"/>
      <c r="S558" s="146"/>
      <c r="T558" s="284" t="s">
        <v>4910</v>
      </c>
      <c r="U558" s="284" t="s">
        <v>152</v>
      </c>
      <c r="AA558"/>
      <c r="AB558"/>
      <c r="AC558" s="274"/>
      <c r="AD558" s="40"/>
    </row>
    <row r="559" spans="16:30" ht="10.5" customHeight="1">
      <c r="P559" s="150" t="s">
        <v>4911</v>
      </c>
      <c r="Q559" s="150"/>
      <c r="R559" s="98"/>
      <c r="S559" s="146"/>
      <c r="T559" s="284" t="s">
        <v>4912</v>
      </c>
      <c r="U559" s="284" t="s">
        <v>3834</v>
      </c>
      <c r="AA559"/>
      <c r="AB559"/>
      <c r="AC559" s="274"/>
      <c r="AD559" s="40"/>
    </row>
    <row r="560" spans="16:30" ht="10.5" customHeight="1">
      <c r="P560" s="150" t="s">
        <v>4913</v>
      </c>
      <c r="Q560" s="150"/>
      <c r="R560" s="98"/>
      <c r="S560" s="146"/>
      <c r="T560" s="284" t="s">
        <v>4914</v>
      </c>
      <c r="U560" s="284" t="s">
        <v>4328</v>
      </c>
      <c r="AA560"/>
      <c r="AB560"/>
      <c r="AC560" s="274"/>
      <c r="AD560" s="40"/>
    </row>
    <row r="561" spans="16:30" ht="10.5" customHeight="1">
      <c r="P561" s="150" t="s">
        <v>4915</v>
      </c>
      <c r="Q561" s="150"/>
      <c r="R561" s="98"/>
      <c r="S561" s="146"/>
      <c r="T561" s="284" t="s">
        <v>155</v>
      </c>
      <c r="U561" s="284" t="s">
        <v>156</v>
      </c>
      <c r="AA561"/>
      <c r="AB561"/>
      <c r="AC561" s="274"/>
      <c r="AD561" s="40"/>
    </row>
    <row r="562" spans="16:30" ht="10.5" customHeight="1">
      <c r="P562" s="150" t="s">
        <v>4916</v>
      </c>
      <c r="Q562" s="150"/>
      <c r="R562" s="98"/>
      <c r="S562" s="146"/>
      <c r="T562" s="284" t="s">
        <v>4917</v>
      </c>
      <c r="U562" s="284" t="s">
        <v>3781</v>
      </c>
      <c r="AA562"/>
      <c r="AB562"/>
      <c r="AC562" s="274"/>
      <c r="AD562" s="40"/>
    </row>
    <row r="563" spans="16:30" ht="10.5" customHeight="1">
      <c r="P563" s="150" t="s">
        <v>4918</v>
      </c>
      <c r="Q563" s="150"/>
      <c r="R563" s="98"/>
      <c r="S563" s="146"/>
      <c r="T563" s="284" t="s">
        <v>4919</v>
      </c>
      <c r="U563" s="284" t="s">
        <v>3761</v>
      </c>
      <c r="AA563"/>
      <c r="AB563"/>
      <c r="AC563" s="274"/>
      <c r="AD563" s="40"/>
    </row>
    <row r="564" spans="16:30" ht="10.5" customHeight="1">
      <c r="P564" s="150" t="s">
        <v>4920</v>
      </c>
      <c r="Q564" s="150"/>
      <c r="R564" s="98"/>
      <c r="S564" s="146"/>
      <c r="T564" s="284" t="s">
        <v>4921</v>
      </c>
      <c r="U564" s="284" t="s">
        <v>154</v>
      </c>
      <c r="AA564"/>
      <c r="AB564"/>
      <c r="AC564" s="274"/>
      <c r="AD564" s="40"/>
    </row>
    <row r="565" spans="16:30" ht="10.5" customHeight="1">
      <c r="P565" s="150" t="s">
        <v>4922</v>
      </c>
      <c r="Q565" s="150"/>
      <c r="R565" s="98"/>
      <c r="S565" s="146"/>
      <c r="T565" s="284" t="s">
        <v>4923</v>
      </c>
      <c r="U565" s="284" t="s">
        <v>4300</v>
      </c>
      <c r="AA565"/>
      <c r="AB565"/>
      <c r="AC565" s="274"/>
      <c r="AD565" s="40"/>
    </row>
    <row r="566" spans="16:30" ht="10.5" customHeight="1">
      <c r="P566" s="150" t="s">
        <v>4924</v>
      </c>
      <c r="Q566" s="150"/>
      <c r="R566" s="98"/>
      <c r="S566" s="146"/>
      <c r="T566" s="284" t="s">
        <v>4925</v>
      </c>
      <c r="U566" s="284" t="s">
        <v>4280</v>
      </c>
      <c r="AA566"/>
      <c r="AB566"/>
      <c r="AC566" s="274"/>
      <c r="AD566" s="40"/>
    </row>
    <row r="567" spans="16:30" ht="10.5" customHeight="1">
      <c r="P567" s="150" t="s">
        <v>4926</v>
      </c>
      <c r="Q567" s="150"/>
      <c r="R567" s="98"/>
      <c r="S567" s="146"/>
      <c r="T567" s="284" t="s">
        <v>4927</v>
      </c>
      <c r="U567" s="284" t="s">
        <v>4350</v>
      </c>
      <c r="AA567"/>
      <c r="AB567"/>
      <c r="AC567" s="274"/>
      <c r="AD567" s="40"/>
    </row>
    <row r="568" spans="16:30" ht="10.5" customHeight="1">
      <c r="P568" s="150" t="s">
        <v>4928</v>
      </c>
      <c r="Q568" s="150"/>
      <c r="R568" s="98"/>
      <c r="S568" s="146"/>
      <c r="T568" s="284" t="s">
        <v>2189</v>
      </c>
      <c r="U568" s="284" t="s">
        <v>118</v>
      </c>
      <c r="AA568"/>
      <c r="AB568"/>
      <c r="AC568" s="274"/>
      <c r="AD568" s="40"/>
    </row>
    <row r="569" spans="16:30" ht="10.5" customHeight="1">
      <c r="P569" s="150" t="s">
        <v>4929</v>
      </c>
      <c r="Q569" s="150"/>
      <c r="R569" s="98"/>
      <c r="S569" s="146"/>
      <c r="T569" s="284" t="s">
        <v>4280</v>
      </c>
      <c r="U569" s="284" t="s">
        <v>3724</v>
      </c>
      <c r="AA569"/>
      <c r="AB569"/>
      <c r="AC569" s="274"/>
      <c r="AD569" s="40"/>
    </row>
    <row r="570" spans="16:30" ht="10.5" customHeight="1">
      <c r="P570" s="150" t="s">
        <v>4930</v>
      </c>
      <c r="Q570" s="150"/>
      <c r="R570" s="98"/>
      <c r="S570" s="146"/>
      <c r="T570" s="284" t="s">
        <v>4931</v>
      </c>
      <c r="U570" s="284" t="s">
        <v>3816</v>
      </c>
      <c r="AA570"/>
      <c r="AB570"/>
      <c r="AC570" s="274"/>
      <c r="AD570" s="40"/>
    </row>
    <row r="571" spans="16:30" ht="10.5" customHeight="1">
      <c r="P571" s="150" t="s">
        <v>4932</v>
      </c>
      <c r="Q571" s="150"/>
      <c r="R571" s="98"/>
      <c r="S571" s="146"/>
      <c r="T571" s="284" t="s">
        <v>4933</v>
      </c>
      <c r="U571" s="284" t="s">
        <v>3851</v>
      </c>
      <c r="AA571"/>
      <c r="AB571"/>
      <c r="AC571" s="274"/>
      <c r="AD571" s="40"/>
    </row>
    <row r="572" spans="16:30" ht="10.5" customHeight="1">
      <c r="P572" s="150" t="s">
        <v>4934</v>
      </c>
      <c r="Q572" s="150"/>
      <c r="R572" s="98"/>
      <c r="S572" s="146"/>
      <c r="T572" s="284" t="s">
        <v>2191</v>
      </c>
      <c r="U572" s="284" t="s">
        <v>3974</v>
      </c>
      <c r="AA572"/>
      <c r="AB572"/>
      <c r="AC572" s="274"/>
      <c r="AD572" s="40"/>
    </row>
    <row r="573" spans="16:30" ht="10.5" customHeight="1">
      <c r="P573" s="150" t="s">
        <v>4935</v>
      </c>
      <c r="Q573" s="150"/>
      <c r="R573" s="98"/>
      <c r="S573" s="146"/>
      <c r="T573" s="284" t="s">
        <v>4936</v>
      </c>
      <c r="U573" s="284" t="s">
        <v>3904</v>
      </c>
      <c r="AA573"/>
      <c r="AB573"/>
      <c r="AC573" s="274"/>
      <c r="AD573" s="40"/>
    </row>
    <row r="574" spans="16:30" ht="10.5" customHeight="1">
      <c r="P574" s="150" t="s">
        <v>4937</v>
      </c>
      <c r="Q574" s="150"/>
      <c r="R574" s="98"/>
      <c r="S574" s="146"/>
      <c r="T574" s="146" t="s">
        <v>4938</v>
      </c>
      <c r="U574" s="146" t="s">
        <v>4005</v>
      </c>
      <c r="AA574"/>
      <c r="AB574"/>
      <c r="AC574" s="40"/>
      <c r="AD574" s="40"/>
    </row>
    <row r="575" spans="16:30" ht="10.5" customHeight="1">
      <c r="P575" s="150" t="s">
        <v>4939</v>
      </c>
      <c r="Q575" s="150"/>
      <c r="R575" s="98"/>
      <c r="S575" s="146"/>
      <c r="T575" s="284" t="s">
        <v>4940</v>
      </c>
      <c r="U575" s="284" t="s">
        <v>4201</v>
      </c>
      <c r="AA575"/>
      <c r="AB575"/>
      <c r="AC575" s="274"/>
      <c r="AD575" s="40"/>
    </row>
    <row r="576" spans="16:30" ht="10.5" customHeight="1">
      <c r="P576" s="150" t="s">
        <v>4941</v>
      </c>
      <c r="Q576" s="150"/>
      <c r="R576" s="98"/>
      <c r="S576" s="146"/>
      <c r="T576" s="284" t="s">
        <v>4942</v>
      </c>
      <c r="U576" s="284" t="s">
        <v>4000</v>
      </c>
      <c r="AA576"/>
      <c r="AB576"/>
      <c r="AC576" s="274"/>
      <c r="AD576" s="40"/>
    </row>
    <row r="577" spans="16:30" ht="10.5" customHeight="1">
      <c r="P577" s="150" t="s">
        <v>4943</v>
      </c>
      <c r="Q577" s="150"/>
      <c r="R577" s="98"/>
      <c r="S577" s="146"/>
      <c r="T577" s="284" t="s">
        <v>4944</v>
      </c>
      <c r="U577" s="284" t="s">
        <v>4000</v>
      </c>
      <c r="AA577"/>
      <c r="AB577"/>
      <c r="AC577" s="274"/>
      <c r="AD577" s="40"/>
    </row>
    <row r="578" spans="16:30" ht="10.5" customHeight="1">
      <c r="P578" s="150" t="s">
        <v>4945</v>
      </c>
      <c r="Q578" s="150"/>
      <c r="R578" s="98"/>
      <c r="S578" s="146"/>
      <c r="T578" s="284" t="s">
        <v>4946</v>
      </c>
      <c r="U578" s="284" t="s">
        <v>4085</v>
      </c>
      <c r="AA578"/>
      <c r="AB578"/>
      <c r="AC578" s="274"/>
      <c r="AD578" s="40"/>
    </row>
    <row r="579" spans="16:30" ht="10.5" customHeight="1">
      <c r="P579" s="150" t="s">
        <v>4947</v>
      </c>
      <c r="Q579" s="150"/>
      <c r="R579" s="98"/>
      <c r="S579" s="146"/>
      <c r="T579" s="284" t="s">
        <v>4948</v>
      </c>
      <c r="U579" s="284" t="s">
        <v>3953</v>
      </c>
      <c r="AA579"/>
      <c r="AB579"/>
      <c r="AC579" s="274"/>
      <c r="AD579" s="40"/>
    </row>
    <row r="580" spans="16:30" ht="10.5" customHeight="1">
      <c r="P580" s="150" t="s">
        <v>4949</v>
      </c>
      <c r="Q580" s="150"/>
      <c r="R580" s="98"/>
      <c r="S580" s="146"/>
      <c r="T580" s="284" t="s">
        <v>2193</v>
      </c>
      <c r="U580" s="284" t="s">
        <v>4128</v>
      </c>
      <c r="AA580"/>
      <c r="AB580"/>
      <c r="AC580" s="274"/>
      <c r="AD580" s="40"/>
    </row>
    <row r="581" spans="16:30" ht="10.5" customHeight="1">
      <c r="P581" s="150" t="s">
        <v>4950</v>
      </c>
      <c r="Q581" s="150"/>
      <c r="R581" s="98"/>
      <c r="S581" s="146"/>
      <c r="T581" s="284" t="s">
        <v>4005</v>
      </c>
      <c r="U581" s="284" t="s">
        <v>2218</v>
      </c>
      <c r="AA581"/>
      <c r="AB581"/>
      <c r="AC581" s="274"/>
      <c r="AD581" s="40"/>
    </row>
    <row r="582" spans="16:30" ht="10.5" customHeight="1">
      <c r="P582" s="150" t="s">
        <v>4951</v>
      </c>
      <c r="Q582" s="150"/>
      <c r="R582" s="98"/>
      <c r="S582" s="146"/>
      <c r="T582" s="284" t="s">
        <v>4952</v>
      </c>
      <c r="U582" s="284" t="s">
        <v>4459</v>
      </c>
      <c r="AA582"/>
      <c r="AB582"/>
      <c r="AC582" s="274"/>
      <c r="AD582" s="40"/>
    </row>
    <row r="583" spans="16:30" ht="10.5" customHeight="1">
      <c r="P583" s="150" t="s">
        <v>4953</v>
      </c>
      <c r="Q583" s="150"/>
      <c r="R583" s="98"/>
      <c r="S583" s="146"/>
      <c r="T583" s="284" t="s">
        <v>4954</v>
      </c>
      <c r="U583" s="284" t="s">
        <v>4011</v>
      </c>
      <c r="AA583"/>
      <c r="AB583"/>
      <c r="AC583" s="274"/>
      <c r="AD583" s="40"/>
    </row>
    <row r="584" spans="16:30" ht="10.5" customHeight="1">
      <c r="P584" s="150" t="s">
        <v>4955</v>
      </c>
      <c r="Q584" s="150"/>
      <c r="R584" s="98"/>
      <c r="S584" s="146"/>
      <c r="T584" s="284" t="s">
        <v>3867</v>
      </c>
      <c r="U584" s="284" t="s">
        <v>2735</v>
      </c>
      <c r="AA584"/>
      <c r="AB584"/>
      <c r="AC584" s="274"/>
      <c r="AD584" s="40"/>
    </row>
    <row r="585" spans="16:30" ht="10.5" customHeight="1">
      <c r="P585" s="150" t="s">
        <v>4956</v>
      </c>
      <c r="Q585" s="150"/>
      <c r="R585" s="98"/>
      <c r="S585" s="146"/>
      <c r="T585" s="146" t="s">
        <v>4957</v>
      </c>
      <c r="U585" s="146" t="s">
        <v>4350</v>
      </c>
      <c r="AA585"/>
      <c r="AB585"/>
      <c r="AC585" s="40"/>
      <c r="AD585" s="40"/>
    </row>
    <row r="586" spans="16:30" ht="10.5" customHeight="1">
      <c r="P586" s="150" t="s">
        <v>4958</v>
      </c>
      <c r="Q586" s="150"/>
      <c r="R586" s="98"/>
      <c r="S586" s="146"/>
      <c r="T586" s="284" t="s">
        <v>4959</v>
      </c>
      <c r="U586" s="284" t="s">
        <v>4371</v>
      </c>
      <c r="AA586"/>
      <c r="AB586"/>
      <c r="AC586" s="274"/>
      <c r="AD586" s="40"/>
    </row>
    <row r="587" spans="16:30" ht="10.5" customHeight="1">
      <c r="P587" s="150" t="s">
        <v>4960</v>
      </c>
      <c r="Q587" s="150"/>
      <c r="R587" s="98"/>
      <c r="S587" s="146"/>
      <c r="T587" s="284" t="s">
        <v>4961</v>
      </c>
      <c r="U587" s="284" t="s">
        <v>162</v>
      </c>
      <c r="AA587"/>
      <c r="AB587"/>
      <c r="AC587" s="274"/>
      <c r="AD587" s="40"/>
    </row>
    <row r="588" spans="16:30" ht="10.5" customHeight="1">
      <c r="P588" s="150" t="s">
        <v>4962</v>
      </c>
      <c r="Q588" s="150"/>
      <c r="R588" s="98"/>
      <c r="S588" s="146"/>
      <c r="T588" s="284" t="s">
        <v>4963</v>
      </c>
      <c r="U588" s="284" t="s">
        <v>116</v>
      </c>
      <c r="AA588"/>
      <c r="AB588"/>
      <c r="AC588" s="274"/>
      <c r="AD588" s="40"/>
    </row>
    <row r="589" spans="16:30" ht="10.5" customHeight="1">
      <c r="P589" s="150" t="s">
        <v>4964</v>
      </c>
      <c r="Q589" s="150"/>
      <c r="R589" s="98"/>
      <c r="S589" s="146"/>
      <c r="T589" s="284" t="s">
        <v>4965</v>
      </c>
      <c r="U589" s="284" t="s">
        <v>4280</v>
      </c>
      <c r="AA589"/>
      <c r="AB589"/>
      <c r="AC589" s="274"/>
      <c r="AD589" s="40"/>
    </row>
    <row r="590" spans="16:30" ht="10.5" customHeight="1">
      <c r="P590" s="150" t="s">
        <v>4966</v>
      </c>
      <c r="Q590" s="150"/>
      <c r="R590" s="98"/>
      <c r="S590" s="146"/>
      <c r="T590" s="284" t="s">
        <v>4967</v>
      </c>
      <c r="U590" s="284" t="s">
        <v>156</v>
      </c>
      <c r="AA590"/>
      <c r="AB590"/>
      <c r="AC590" s="274"/>
      <c r="AD590" s="40"/>
    </row>
    <row r="591" spans="16:30" ht="10.5" customHeight="1">
      <c r="P591" s="150" t="s">
        <v>4968</v>
      </c>
      <c r="Q591" s="150"/>
      <c r="R591" s="98"/>
      <c r="S591" s="146"/>
      <c r="T591" s="284" t="s">
        <v>160</v>
      </c>
      <c r="U591" s="284" t="s">
        <v>98</v>
      </c>
      <c r="AA591"/>
      <c r="AB591"/>
      <c r="AC591" s="274"/>
      <c r="AD591" s="40"/>
    </row>
    <row r="592" spans="16:30" ht="10.5" customHeight="1">
      <c r="P592" s="150" t="s">
        <v>4969</v>
      </c>
      <c r="Q592" s="150"/>
      <c r="R592" s="98"/>
      <c r="S592" s="146"/>
      <c r="T592" s="284" t="s">
        <v>4970</v>
      </c>
      <c r="U592" s="284" t="s">
        <v>4113</v>
      </c>
      <c r="AA592"/>
      <c r="AB592"/>
      <c r="AC592" s="274"/>
      <c r="AD592" s="40"/>
    </row>
    <row r="593" spans="16:30" ht="10.5" customHeight="1">
      <c r="P593" s="150" t="s">
        <v>4971</v>
      </c>
      <c r="Q593" s="150"/>
      <c r="R593" s="98"/>
      <c r="S593" s="146"/>
      <c r="T593" s="284" t="s">
        <v>4972</v>
      </c>
      <c r="U593" s="284" t="s">
        <v>4011</v>
      </c>
      <c r="AA593"/>
      <c r="AB593"/>
      <c r="AC593" s="274"/>
      <c r="AD593" s="40"/>
    </row>
    <row r="594" spans="16:30" ht="10.5" customHeight="1">
      <c r="P594" s="150" t="s">
        <v>4973</v>
      </c>
      <c r="Q594" s="150"/>
      <c r="R594" s="98"/>
      <c r="S594" s="146"/>
      <c r="T594" s="284" t="s">
        <v>4974</v>
      </c>
      <c r="U594" s="284" t="s">
        <v>3953</v>
      </c>
      <c r="AA594"/>
      <c r="AB594"/>
      <c r="AC594" s="274"/>
      <c r="AD594" s="40"/>
    </row>
    <row r="595" spans="16:30" ht="10.5" customHeight="1">
      <c r="P595" s="150" t="s">
        <v>4975</v>
      </c>
      <c r="Q595" s="150"/>
      <c r="R595" s="98"/>
      <c r="S595" s="146"/>
      <c r="T595" s="284" t="s">
        <v>4976</v>
      </c>
      <c r="U595" s="284" t="s">
        <v>3767</v>
      </c>
      <c r="AA595"/>
      <c r="AB595"/>
      <c r="AC595" s="274"/>
      <c r="AD595" s="40"/>
    </row>
    <row r="596" spans="16:30" ht="10.5" customHeight="1">
      <c r="P596" s="150" t="s">
        <v>4977</v>
      </c>
      <c r="Q596" s="150"/>
      <c r="R596" s="98"/>
      <c r="S596" s="146"/>
      <c r="T596" s="284" t="s">
        <v>4978</v>
      </c>
      <c r="U596" s="284" t="s">
        <v>4018</v>
      </c>
      <c r="AA596"/>
      <c r="AB596"/>
      <c r="AC596" s="274"/>
      <c r="AD596" s="40"/>
    </row>
    <row r="597" spans="16:30" ht="10.5" customHeight="1">
      <c r="P597" s="150" t="s">
        <v>4979</v>
      </c>
      <c r="Q597" s="150"/>
      <c r="R597" s="98"/>
      <c r="S597" s="146"/>
      <c r="T597" s="284" t="s">
        <v>4980</v>
      </c>
      <c r="U597" s="284" t="s">
        <v>3974</v>
      </c>
      <c r="AA597"/>
      <c r="AB597"/>
      <c r="AC597" s="274"/>
      <c r="AD597" s="40"/>
    </row>
    <row r="598" spans="16:30" ht="10.5" customHeight="1">
      <c r="P598" s="150" t="s">
        <v>4981</v>
      </c>
      <c r="Q598" s="150"/>
      <c r="R598" s="98"/>
      <c r="S598" s="146"/>
      <c r="T598" s="284" t="s">
        <v>4982</v>
      </c>
      <c r="U598" s="284" t="s">
        <v>3711</v>
      </c>
      <c r="AA598"/>
      <c r="AB598"/>
      <c r="AC598" s="274"/>
      <c r="AD598" s="40"/>
    </row>
    <row r="599" spans="16:30" ht="10.5" customHeight="1">
      <c r="P599" s="150" t="s">
        <v>4983</v>
      </c>
      <c r="Q599" s="150"/>
      <c r="R599" s="98"/>
      <c r="S599" s="146"/>
      <c r="T599" s="284" t="s">
        <v>4984</v>
      </c>
      <c r="U599" s="284" t="s">
        <v>3924</v>
      </c>
      <c r="AA599"/>
      <c r="AB599"/>
      <c r="AC599" s="274"/>
      <c r="AD599" s="40"/>
    </row>
    <row r="600" spans="16:30" ht="10.5" customHeight="1">
      <c r="P600" s="150" t="s">
        <v>4985</v>
      </c>
      <c r="Q600" s="150"/>
      <c r="R600" s="98"/>
      <c r="S600" s="146"/>
      <c r="T600" s="284" t="s">
        <v>2195</v>
      </c>
      <c r="U600" s="284" t="s">
        <v>3794</v>
      </c>
      <c r="AA600"/>
      <c r="AB600"/>
      <c r="AC600" s="274"/>
      <c r="AD600" s="40"/>
    </row>
    <row r="601" spans="16:30" ht="10.5" customHeight="1">
      <c r="P601" s="150" t="s">
        <v>4986</v>
      </c>
      <c r="Q601" s="150"/>
      <c r="R601" s="98"/>
      <c r="S601" s="146"/>
      <c r="T601" s="146" t="s">
        <v>4987</v>
      </c>
      <c r="U601" s="146" t="s">
        <v>3851</v>
      </c>
      <c r="AA601"/>
      <c r="AB601"/>
      <c r="AC601" s="40"/>
      <c r="AD601" s="40"/>
    </row>
    <row r="602" spans="16:30" ht="10.5" customHeight="1">
      <c r="P602" s="150" t="s">
        <v>4988</v>
      </c>
      <c r="Q602" s="150"/>
      <c r="R602" s="98"/>
      <c r="S602" s="146"/>
      <c r="T602" s="284" t="s">
        <v>4989</v>
      </c>
      <c r="U602" s="284" t="s">
        <v>4153</v>
      </c>
      <c r="AA602"/>
      <c r="AB602"/>
      <c r="AC602" s="274"/>
      <c r="AD602" s="40"/>
    </row>
    <row r="603" spans="16:30" ht="10.5" customHeight="1">
      <c r="P603" s="150" t="s">
        <v>4990</v>
      </c>
      <c r="Q603" s="150"/>
      <c r="R603" s="98"/>
      <c r="S603" s="146"/>
      <c r="T603" s="284" t="s">
        <v>2197</v>
      </c>
      <c r="U603" s="284" t="s">
        <v>171</v>
      </c>
      <c r="AA603"/>
      <c r="AB603"/>
      <c r="AC603" s="274"/>
      <c r="AD603" s="40"/>
    </row>
    <row r="604" spans="16:30" ht="10.5" customHeight="1">
      <c r="P604" s="150" t="s">
        <v>4991</v>
      </c>
      <c r="Q604" s="150"/>
      <c r="R604" s="98"/>
      <c r="S604" s="146"/>
      <c r="T604" s="146" t="s">
        <v>161</v>
      </c>
      <c r="U604" s="146" t="s">
        <v>162</v>
      </c>
      <c r="AA604"/>
      <c r="AB604"/>
      <c r="AC604" s="40"/>
      <c r="AD604" s="40"/>
    </row>
    <row r="605" spans="16:30" ht="10.5" customHeight="1">
      <c r="P605" s="150" t="s">
        <v>4992</v>
      </c>
      <c r="Q605" s="150"/>
      <c r="R605" s="98"/>
      <c r="S605" s="146"/>
      <c r="T605" s="284" t="s">
        <v>4993</v>
      </c>
      <c r="U605" s="284" t="s">
        <v>98</v>
      </c>
      <c r="AA605"/>
      <c r="AB605"/>
      <c r="AC605" s="274"/>
      <c r="AD605" s="40"/>
    </row>
    <row r="606" spans="16:30" ht="10.5" customHeight="1">
      <c r="P606" s="150" t="s">
        <v>4994</v>
      </c>
      <c r="Q606" s="150"/>
      <c r="R606" s="98"/>
      <c r="S606" s="146"/>
      <c r="T606" s="284" t="s">
        <v>4995</v>
      </c>
      <c r="U606" s="284" t="s">
        <v>4104</v>
      </c>
      <c r="AA606"/>
      <c r="AB606"/>
      <c r="AC606" s="274"/>
      <c r="AD606" s="40"/>
    </row>
    <row r="607" spans="16:30" ht="10.5" customHeight="1">
      <c r="P607" s="150" t="s">
        <v>4996</v>
      </c>
      <c r="Q607" s="150"/>
      <c r="R607" s="98"/>
      <c r="S607" s="146"/>
      <c r="T607" s="284" t="s">
        <v>4997</v>
      </c>
      <c r="U607" s="284" t="s">
        <v>3961</v>
      </c>
      <c r="AA607"/>
      <c r="AB607"/>
      <c r="AC607" s="274"/>
      <c r="AD607" s="40"/>
    </row>
    <row r="608" spans="16:30" ht="10.5" customHeight="1">
      <c r="P608" s="150" t="s">
        <v>4998</v>
      </c>
      <c r="Q608" s="150"/>
      <c r="R608" s="98"/>
      <c r="S608" s="146"/>
      <c r="T608" s="146" t="s">
        <v>4999</v>
      </c>
      <c r="U608" s="146" t="s">
        <v>3717</v>
      </c>
      <c r="AA608"/>
      <c r="AB608"/>
      <c r="AC608" s="40"/>
      <c r="AD608" s="40"/>
    </row>
    <row r="609" spans="16:30" ht="10.5" customHeight="1">
      <c r="P609" s="150" t="s">
        <v>5000</v>
      </c>
      <c r="Q609" s="150"/>
      <c r="R609" s="98"/>
      <c r="S609" s="146"/>
      <c r="T609" s="146" t="s">
        <v>5001</v>
      </c>
      <c r="U609" s="146" t="s">
        <v>3717</v>
      </c>
      <c r="AA609"/>
      <c r="AB609"/>
      <c r="AC609" s="40"/>
      <c r="AD609" s="40"/>
    </row>
    <row r="610" spans="16:30" ht="10.5" customHeight="1">
      <c r="P610" s="150" t="s">
        <v>5002</v>
      </c>
      <c r="Q610" s="150"/>
      <c r="R610" s="98"/>
      <c r="S610" s="146"/>
      <c r="T610" s="284" t="s">
        <v>5003</v>
      </c>
      <c r="U610" s="284" t="s">
        <v>3823</v>
      </c>
      <c r="AA610"/>
      <c r="AB610"/>
      <c r="AC610" s="274"/>
      <c r="AD610" s="40"/>
    </row>
    <row r="611" spans="16:30" ht="10.5" customHeight="1">
      <c r="P611" s="150" t="s">
        <v>5004</v>
      </c>
      <c r="Q611" s="150"/>
      <c r="R611" s="98"/>
      <c r="S611" s="146"/>
      <c r="T611" s="284" t="s">
        <v>5005</v>
      </c>
      <c r="U611" s="284" t="s">
        <v>4057</v>
      </c>
      <c r="AA611"/>
      <c r="AB611"/>
      <c r="AC611" s="274"/>
      <c r="AD611" s="40"/>
    </row>
    <row r="612" spans="16:30" ht="10.5" customHeight="1">
      <c r="P612" s="150" t="s">
        <v>5006</v>
      </c>
      <c r="Q612" s="150"/>
      <c r="R612" s="98"/>
      <c r="S612" s="146"/>
      <c r="T612" s="284" t="s">
        <v>5007</v>
      </c>
      <c r="U612" s="284" t="s">
        <v>140</v>
      </c>
      <c r="AA612"/>
      <c r="AB612"/>
      <c r="AC612" s="274"/>
      <c r="AD612" s="40"/>
    </row>
    <row r="613" spans="16:30" ht="10.5" customHeight="1">
      <c r="P613" s="150" t="s">
        <v>5008</v>
      </c>
      <c r="Q613" s="150"/>
      <c r="R613" s="98"/>
      <c r="S613" s="146"/>
      <c r="T613" s="284" t="s">
        <v>5009</v>
      </c>
      <c r="U613" s="284" t="s">
        <v>140</v>
      </c>
      <c r="AA613"/>
      <c r="AB613"/>
      <c r="AC613" s="274"/>
      <c r="AD613" s="40"/>
    </row>
    <row r="614" spans="16:30" ht="10.5" customHeight="1">
      <c r="P614" s="150" t="s">
        <v>5010</v>
      </c>
      <c r="Q614" s="150"/>
      <c r="R614" s="98"/>
      <c r="S614" s="146"/>
      <c r="T614" s="284" t="s">
        <v>5011</v>
      </c>
      <c r="U614" s="284" t="s">
        <v>109</v>
      </c>
      <c r="AA614"/>
      <c r="AB614"/>
      <c r="AC614" s="274"/>
      <c r="AD614" s="40"/>
    </row>
    <row r="615" spans="16:30" ht="10.5" customHeight="1">
      <c r="P615" s="150" t="s">
        <v>5012</v>
      </c>
      <c r="Q615" s="150"/>
      <c r="R615" s="98"/>
      <c r="S615" s="146"/>
      <c r="T615" s="284" t="s">
        <v>2199</v>
      </c>
      <c r="U615" s="284" t="s">
        <v>4280</v>
      </c>
      <c r="AA615"/>
      <c r="AB615"/>
      <c r="AC615" s="274"/>
      <c r="AD615" s="40"/>
    </row>
    <row r="616" spans="16:30" ht="10.5" customHeight="1">
      <c r="P616" s="150" t="s">
        <v>5013</v>
      </c>
      <c r="Q616" s="150"/>
      <c r="R616" s="98"/>
      <c r="S616" s="146"/>
      <c r="T616" s="284" t="s">
        <v>5014</v>
      </c>
      <c r="U616" s="284" t="s">
        <v>4493</v>
      </c>
      <c r="AA616"/>
      <c r="AB616"/>
      <c r="AC616" s="274"/>
      <c r="AD616" s="40"/>
    </row>
    <row r="617" spans="16:30" ht="10.5" customHeight="1">
      <c r="P617" s="150" t="s">
        <v>5015</v>
      </c>
      <c r="Q617" s="150"/>
      <c r="R617" s="98"/>
      <c r="S617" s="146"/>
      <c r="T617" s="284" t="s">
        <v>5016</v>
      </c>
      <c r="U617" s="284" t="s">
        <v>123</v>
      </c>
      <c r="AA617"/>
      <c r="AB617"/>
      <c r="AC617" s="274"/>
      <c r="AD617" s="40"/>
    </row>
    <row r="618" spans="16:30" ht="10.5" customHeight="1">
      <c r="P618" s="150" t="s">
        <v>5017</v>
      </c>
      <c r="Q618" s="150"/>
      <c r="R618" s="98"/>
      <c r="S618" s="146"/>
      <c r="T618" s="284" t="s">
        <v>5018</v>
      </c>
      <c r="U618" s="284" t="s">
        <v>4464</v>
      </c>
      <c r="AA618"/>
      <c r="AB618"/>
      <c r="AC618" s="274"/>
      <c r="AD618" s="40"/>
    </row>
    <row r="619" spans="16:30" ht="10.5" customHeight="1">
      <c r="P619" s="150" t="s">
        <v>5019</v>
      </c>
      <c r="Q619" s="150"/>
      <c r="R619" s="98"/>
      <c r="S619" s="146"/>
      <c r="T619" s="284" t="s">
        <v>4315</v>
      </c>
      <c r="U619" s="284" t="s">
        <v>3829</v>
      </c>
      <c r="AA619"/>
      <c r="AB619"/>
      <c r="AC619" s="274"/>
      <c r="AD619" s="40"/>
    </row>
    <row r="620" spans="16:30" ht="10.5" customHeight="1">
      <c r="P620" s="150" t="s">
        <v>5020</v>
      </c>
      <c r="Q620" s="150"/>
      <c r="R620" s="98"/>
      <c r="S620" s="146"/>
      <c r="T620" s="284" t="s">
        <v>163</v>
      </c>
      <c r="U620" s="284" t="s">
        <v>164</v>
      </c>
      <c r="AA620"/>
      <c r="AB620"/>
      <c r="AC620" s="274"/>
      <c r="AD620" s="40"/>
    </row>
    <row r="621" spans="16:30" ht="10.5" customHeight="1">
      <c r="P621" s="150" t="s">
        <v>5021</v>
      </c>
      <c r="Q621" s="150"/>
      <c r="R621" s="98"/>
      <c r="S621" s="146"/>
      <c r="T621" s="284" t="s">
        <v>128</v>
      </c>
      <c r="U621" s="284" t="s">
        <v>3788</v>
      </c>
      <c r="AA621"/>
      <c r="AB621"/>
      <c r="AC621" s="274"/>
      <c r="AD621" s="40"/>
    </row>
    <row r="622" spans="16:30" ht="10.5" customHeight="1">
      <c r="P622" s="150" t="s">
        <v>5022</v>
      </c>
      <c r="Q622" s="150"/>
      <c r="R622" s="98"/>
      <c r="S622" s="146"/>
      <c r="T622" s="284" t="s">
        <v>5023</v>
      </c>
      <c r="U622" s="284" t="s">
        <v>4057</v>
      </c>
      <c r="AA622"/>
      <c r="AB622"/>
      <c r="AC622" s="274"/>
      <c r="AD622" s="40"/>
    </row>
    <row r="623" spans="16:30" ht="10.5" customHeight="1">
      <c r="P623" s="150" t="s">
        <v>5024</v>
      </c>
      <c r="Q623" s="150"/>
      <c r="R623" s="98"/>
      <c r="S623" s="146"/>
      <c r="T623" s="284" t="s">
        <v>165</v>
      </c>
      <c r="U623" s="284" t="s">
        <v>166</v>
      </c>
      <c r="AA623"/>
      <c r="AB623"/>
      <c r="AC623" s="274"/>
      <c r="AD623" s="40"/>
    </row>
    <row r="624" spans="16:30" ht="10.5" customHeight="1">
      <c r="P624" s="150" t="s">
        <v>5025</v>
      </c>
      <c r="Q624" s="150"/>
      <c r="R624" s="98"/>
      <c r="S624" s="146"/>
      <c r="T624" s="284" t="s">
        <v>5026</v>
      </c>
      <c r="U624" s="284" t="s">
        <v>3761</v>
      </c>
      <c r="AA624"/>
      <c r="AB624"/>
      <c r="AC624" s="274"/>
      <c r="AD624" s="40"/>
    </row>
    <row r="625" spans="16:30" ht="10.5" customHeight="1">
      <c r="P625" s="150" t="s">
        <v>5027</v>
      </c>
      <c r="Q625" s="150"/>
      <c r="R625" s="98"/>
      <c r="S625" s="146"/>
      <c r="T625" s="284" t="s">
        <v>5028</v>
      </c>
      <c r="U625" s="284" t="s">
        <v>4484</v>
      </c>
      <c r="AA625"/>
      <c r="AB625"/>
      <c r="AC625" s="274"/>
      <c r="AD625" s="40"/>
    </row>
    <row r="626" spans="16:30" ht="10.5" customHeight="1">
      <c r="P626" s="150" t="s">
        <v>5029</v>
      </c>
      <c r="Q626" s="150"/>
      <c r="R626" s="98"/>
      <c r="S626" s="146"/>
      <c r="T626" s="284" t="s">
        <v>5030</v>
      </c>
      <c r="U626" s="284" t="s">
        <v>3873</v>
      </c>
      <c r="AA626"/>
      <c r="AB626"/>
      <c r="AC626" s="274"/>
      <c r="AD626" s="40"/>
    </row>
    <row r="627" spans="16:30" ht="10.5" customHeight="1">
      <c r="P627" s="150" t="s">
        <v>5031</v>
      </c>
      <c r="Q627" s="150"/>
      <c r="R627" s="98"/>
      <c r="S627" s="146"/>
      <c r="T627" s="146" t="s">
        <v>167</v>
      </c>
      <c r="U627" s="146" t="s">
        <v>98</v>
      </c>
      <c r="AA627"/>
      <c r="AB627"/>
      <c r="AC627" s="40"/>
      <c r="AD627" s="40"/>
    </row>
    <row r="628" spans="16:30" ht="10.5" customHeight="1">
      <c r="P628" s="150" t="s">
        <v>5032</v>
      </c>
      <c r="Q628" s="150"/>
      <c r="R628" s="98"/>
      <c r="S628" s="146"/>
      <c r="T628" s="284" t="s">
        <v>168</v>
      </c>
      <c r="U628" s="284" t="s">
        <v>169</v>
      </c>
      <c r="AA628"/>
      <c r="AB628"/>
      <c r="AC628" s="274"/>
      <c r="AD628" s="40"/>
    </row>
    <row r="629" spans="16:30" ht="10.5" customHeight="1">
      <c r="P629" s="150" t="s">
        <v>5033</v>
      </c>
      <c r="Q629" s="150"/>
      <c r="R629" s="98"/>
      <c r="S629" s="146"/>
      <c r="T629" s="284" t="s">
        <v>5034</v>
      </c>
      <c r="U629" s="284" t="s">
        <v>109</v>
      </c>
      <c r="AA629"/>
      <c r="AB629"/>
      <c r="AC629" s="274"/>
      <c r="AD629" s="40"/>
    </row>
    <row r="630" spans="16:30" ht="10.5" customHeight="1">
      <c r="P630" s="150" t="s">
        <v>5035</v>
      </c>
      <c r="Q630" s="150"/>
      <c r="R630" s="98"/>
      <c r="S630" s="146"/>
      <c r="T630" s="284" t="s">
        <v>5036</v>
      </c>
      <c r="U630" s="284" t="s">
        <v>4345</v>
      </c>
      <c r="AA630"/>
      <c r="AB630"/>
      <c r="AC630" s="274"/>
      <c r="AD630" s="40"/>
    </row>
    <row r="631" spans="16:30" ht="10.5" customHeight="1">
      <c r="P631" s="150" t="s">
        <v>5037</v>
      </c>
      <c r="Q631" s="150"/>
      <c r="R631" s="98"/>
      <c r="S631" s="146"/>
      <c r="T631" s="284" t="s">
        <v>5038</v>
      </c>
      <c r="U631" s="284" t="s">
        <v>154</v>
      </c>
      <c r="AA631"/>
      <c r="AB631"/>
      <c r="AC631" s="274"/>
      <c r="AD631" s="40"/>
    </row>
    <row r="632" spans="16:30" ht="10.5" customHeight="1">
      <c r="P632" s="150" t="s">
        <v>5039</v>
      </c>
      <c r="Q632" s="150"/>
      <c r="R632" s="98"/>
      <c r="S632" s="146"/>
      <c r="T632" s="284" t="s">
        <v>5040</v>
      </c>
      <c r="U632" s="284" t="s">
        <v>4179</v>
      </c>
      <c r="AA632"/>
      <c r="AB632"/>
      <c r="AC632" s="274"/>
      <c r="AD632" s="40"/>
    </row>
    <row r="633" spans="16:30" ht="10.5" customHeight="1">
      <c r="P633" s="150" t="s">
        <v>5041</v>
      </c>
      <c r="Q633" s="150"/>
      <c r="R633" s="98"/>
      <c r="S633" s="146"/>
      <c r="T633" s="284" t="s">
        <v>5042</v>
      </c>
      <c r="U633" s="284" t="s">
        <v>4057</v>
      </c>
      <c r="AA633"/>
      <c r="AB633"/>
      <c r="AC633" s="274"/>
      <c r="AD633" s="40"/>
    </row>
    <row r="634" spans="16:30" ht="10.5" customHeight="1">
      <c r="P634" s="150" t="s">
        <v>5043</v>
      </c>
      <c r="Q634" s="150"/>
      <c r="R634" s="98"/>
      <c r="S634" s="146"/>
      <c r="T634" s="284" t="s">
        <v>5044</v>
      </c>
      <c r="U634" s="284" t="s">
        <v>3974</v>
      </c>
      <c r="AA634"/>
      <c r="AB634"/>
      <c r="AC634" s="274"/>
      <c r="AD634" s="40"/>
    </row>
    <row r="635" spans="16:30" ht="10.5" customHeight="1">
      <c r="P635" s="150" t="s">
        <v>5045</v>
      </c>
      <c r="Q635" s="150"/>
      <c r="R635" s="98"/>
      <c r="S635" s="146"/>
      <c r="T635" s="284" t="s">
        <v>5046</v>
      </c>
      <c r="U635" s="284" t="s">
        <v>4163</v>
      </c>
      <c r="AA635"/>
      <c r="AB635"/>
      <c r="AC635" s="274"/>
      <c r="AD635" s="40"/>
    </row>
    <row r="636" spans="16:30" ht="10.5" customHeight="1">
      <c r="P636" s="150" t="s">
        <v>5047</v>
      </c>
      <c r="Q636" s="150"/>
      <c r="R636" s="98"/>
      <c r="S636" s="146"/>
      <c r="T636" s="284" t="s">
        <v>5048</v>
      </c>
      <c r="U636" s="284" t="s">
        <v>3955</v>
      </c>
      <c r="AA636"/>
      <c r="AB636"/>
      <c r="AC636" s="274"/>
      <c r="AD636" s="40"/>
    </row>
    <row r="637" spans="16:30" ht="10.5" customHeight="1">
      <c r="P637" s="150" t="s">
        <v>5049</v>
      </c>
      <c r="Q637" s="150"/>
      <c r="R637" s="98"/>
      <c r="S637" s="146"/>
      <c r="T637" s="146" t="s">
        <v>5050</v>
      </c>
      <c r="U637" s="146" t="s">
        <v>126</v>
      </c>
      <c r="AA637"/>
      <c r="AB637"/>
      <c r="AC637" s="40"/>
      <c r="AD637" s="40"/>
    </row>
    <row r="638" spans="16:30" ht="10.5" customHeight="1">
      <c r="P638" s="150" t="s">
        <v>5051</v>
      </c>
      <c r="Q638" s="150"/>
      <c r="R638" s="98"/>
      <c r="S638" s="146"/>
      <c r="T638" s="284" t="s">
        <v>5052</v>
      </c>
      <c r="U638" s="284" t="s">
        <v>4371</v>
      </c>
      <c r="AA638"/>
      <c r="AB638"/>
      <c r="AC638" s="274"/>
      <c r="AD638" s="40"/>
    </row>
    <row r="639" spans="16:30" ht="10.5" customHeight="1">
      <c r="P639" s="150" t="s">
        <v>5053</v>
      </c>
      <c r="Q639" s="150"/>
      <c r="R639" s="98"/>
      <c r="S639" s="146"/>
      <c r="T639" s="284" t="s">
        <v>5054</v>
      </c>
      <c r="U639" s="284" t="s">
        <v>3794</v>
      </c>
      <c r="AA639"/>
      <c r="AB639"/>
      <c r="AC639" s="274"/>
      <c r="AD639" s="40"/>
    </row>
    <row r="640" spans="16:30" ht="10.5" customHeight="1">
      <c r="P640" s="150" t="s">
        <v>5055</v>
      </c>
      <c r="Q640" s="150"/>
      <c r="R640" s="98"/>
      <c r="S640" s="146"/>
      <c r="T640" s="146" t="s">
        <v>5056</v>
      </c>
      <c r="U640" s="146" t="s">
        <v>2218</v>
      </c>
      <c r="AA640"/>
      <c r="AB640"/>
      <c r="AC640" s="40"/>
      <c r="AD640" s="40"/>
    </row>
    <row r="641" spans="16:30" ht="10.5" customHeight="1">
      <c r="P641" s="150" t="s">
        <v>5057</v>
      </c>
      <c r="Q641" s="150"/>
      <c r="R641" s="98"/>
      <c r="S641" s="146"/>
      <c r="T641" s="284" t="s">
        <v>5058</v>
      </c>
      <c r="U641" s="284" t="s">
        <v>3987</v>
      </c>
      <c r="AA641"/>
      <c r="AB641"/>
      <c r="AC641" s="274"/>
      <c r="AD641" s="40"/>
    </row>
    <row r="642" spans="16:30" ht="10.5" customHeight="1">
      <c r="P642" s="150" t="s">
        <v>5059</v>
      </c>
      <c r="Q642" s="150"/>
      <c r="R642" s="98"/>
      <c r="S642" s="146"/>
      <c r="T642" s="284" t="s">
        <v>5060</v>
      </c>
      <c r="U642" s="284" t="s">
        <v>137</v>
      </c>
      <c r="AA642"/>
      <c r="AB642"/>
      <c r="AC642" s="274"/>
      <c r="AD642" s="40"/>
    </row>
    <row r="643" spans="16:30" ht="10.5" customHeight="1">
      <c r="P643" s="150" t="s">
        <v>5061</v>
      </c>
      <c r="Q643" s="150"/>
      <c r="R643" s="98"/>
      <c r="S643" s="146"/>
      <c r="T643" s="284" t="s">
        <v>5062</v>
      </c>
      <c r="U643" s="284" t="s">
        <v>103</v>
      </c>
      <c r="AA643"/>
      <c r="AB643"/>
      <c r="AC643" s="274"/>
      <c r="AD643" s="40"/>
    </row>
    <row r="644" spans="16:30" ht="10.5" customHeight="1">
      <c r="P644" s="150" t="s">
        <v>5063</v>
      </c>
      <c r="Q644" s="150"/>
      <c r="R644" s="98"/>
      <c r="S644" s="146"/>
      <c r="T644" s="284" t="s">
        <v>5064</v>
      </c>
      <c r="U644" s="284" t="s">
        <v>3904</v>
      </c>
      <c r="AA644"/>
      <c r="AB644"/>
      <c r="AC644" s="274"/>
      <c r="AD644" s="40"/>
    </row>
    <row r="645" spans="16:30" ht="10.5" customHeight="1">
      <c r="P645" s="150" t="s">
        <v>5065</v>
      </c>
      <c r="Q645" s="150"/>
      <c r="R645" s="98"/>
      <c r="S645" s="146"/>
      <c r="T645" s="284" t="s">
        <v>5066</v>
      </c>
      <c r="U645" s="284" t="s">
        <v>3926</v>
      </c>
      <c r="AA645"/>
      <c r="AB645"/>
      <c r="AC645" s="274"/>
      <c r="AD645" s="40"/>
    </row>
    <row r="646" spans="16:30" ht="10.5" customHeight="1">
      <c r="P646" s="150" t="s">
        <v>5067</v>
      </c>
      <c r="Q646" s="150"/>
      <c r="R646" s="98"/>
      <c r="S646" s="146"/>
      <c r="T646" s="284" t="s">
        <v>170</v>
      </c>
      <c r="U646" s="284" t="s">
        <v>171</v>
      </c>
      <c r="AA646"/>
      <c r="AB646"/>
      <c r="AC646" s="274"/>
      <c r="AD646" s="40"/>
    </row>
    <row r="647" spans="16:30" ht="10.5" customHeight="1">
      <c r="P647" s="150" t="s">
        <v>5068</v>
      </c>
      <c r="Q647" s="150"/>
      <c r="R647" s="98"/>
      <c r="S647" s="146"/>
      <c r="T647" s="284" t="s">
        <v>5069</v>
      </c>
      <c r="U647" s="284" t="s">
        <v>3717</v>
      </c>
      <c r="AA647"/>
      <c r="AB647"/>
      <c r="AC647" s="274"/>
      <c r="AD647" s="40"/>
    </row>
    <row r="648" spans="16:30" ht="10.5" customHeight="1">
      <c r="P648" s="150" t="s">
        <v>5070</v>
      </c>
      <c r="Q648" s="150"/>
      <c r="R648" s="98"/>
      <c r="S648" s="146"/>
      <c r="T648" s="146" t="s">
        <v>5071</v>
      </c>
      <c r="U648" s="146" t="s">
        <v>3718</v>
      </c>
      <c r="AA648"/>
      <c r="AB648"/>
      <c r="AC648" s="40"/>
      <c r="AD648" s="40"/>
    </row>
    <row r="649" spans="16:30" ht="10.5" customHeight="1">
      <c r="P649" s="150" t="s">
        <v>5072</v>
      </c>
      <c r="Q649" s="150"/>
      <c r="R649" s="98"/>
      <c r="S649" s="146"/>
      <c r="T649" s="284" t="s">
        <v>2201</v>
      </c>
      <c r="U649" s="284" t="s">
        <v>3844</v>
      </c>
      <c r="AA649"/>
      <c r="AB649"/>
      <c r="AC649" s="274"/>
      <c r="AD649" s="40"/>
    </row>
    <row r="650" spans="16:30" ht="10.5" customHeight="1">
      <c r="P650" s="150" t="s">
        <v>5073</v>
      </c>
      <c r="Q650" s="150"/>
      <c r="R650" s="98"/>
      <c r="S650" s="146"/>
      <c r="T650" s="284" t="s">
        <v>5074</v>
      </c>
      <c r="U650" s="284" t="s">
        <v>4350</v>
      </c>
      <c r="AA650"/>
      <c r="AB650"/>
      <c r="AC650" s="274"/>
      <c r="AD650" s="40"/>
    </row>
    <row r="651" spans="16:30" ht="10.5" customHeight="1">
      <c r="P651" s="150" t="s">
        <v>5075</v>
      </c>
      <c r="Q651" s="150"/>
      <c r="R651" s="98"/>
      <c r="S651" s="146"/>
      <c r="T651" s="284" t="s">
        <v>2203</v>
      </c>
      <c r="U651" s="284" t="s">
        <v>178</v>
      </c>
      <c r="AA651"/>
      <c r="AB651"/>
      <c r="AC651" s="274"/>
      <c r="AD651" s="40"/>
    </row>
    <row r="652" spans="16:30" ht="10.5" customHeight="1">
      <c r="P652" s="150" t="s">
        <v>5076</v>
      </c>
      <c r="Q652" s="150"/>
      <c r="R652" s="98"/>
      <c r="S652" s="146"/>
      <c r="T652" s="284" t="s">
        <v>5077</v>
      </c>
      <c r="U652" s="284" t="s">
        <v>3834</v>
      </c>
      <c r="AA652"/>
      <c r="AB652"/>
      <c r="AC652" s="274"/>
      <c r="AD652" s="40"/>
    </row>
    <row r="653" spans="16:30" ht="10.5" customHeight="1">
      <c r="P653" s="150" t="s">
        <v>5078</v>
      </c>
      <c r="Q653" s="150"/>
      <c r="R653" s="98"/>
      <c r="S653" s="146"/>
      <c r="T653" s="146" t="s">
        <v>5079</v>
      </c>
      <c r="U653" s="146" t="s">
        <v>106</v>
      </c>
      <c r="AA653"/>
      <c r="AB653"/>
      <c r="AC653" s="40"/>
      <c r="AD653" s="40"/>
    </row>
    <row r="654" spans="16:30" ht="10.5" customHeight="1">
      <c r="P654" s="150" t="s">
        <v>5080</v>
      </c>
      <c r="Q654" s="150"/>
      <c r="R654" s="98"/>
      <c r="S654" s="146"/>
      <c r="T654" s="284" t="s">
        <v>5081</v>
      </c>
      <c r="U654" s="284" t="s">
        <v>156</v>
      </c>
      <c r="AA654"/>
      <c r="AB654"/>
      <c r="AC654" s="274"/>
      <c r="AD654" s="40"/>
    </row>
    <row r="655" spans="16:30" ht="10.5" customHeight="1">
      <c r="P655" s="150" t="s">
        <v>5082</v>
      </c>
      <c r="Q655" s="150"/>
      <c r="R655" s="98"/>
      <c r="S655" s="146"/>
      <c r="T655" s="284" t="s">
        <v>5083</v>
      </c>
      <c r="U655" s="284" t="s">
        <v>4034</v>
      </c>
      <c r="AA655"/>
      <c r="AB655"/>
      <c r="AC655" s="274"/>
      <c r="AD655" s="40"/>
    </row>
    <row r="656" spans="16:30" ht="10.5" customHeight="1">
      <c r="P656" s="150" t="s">
        <v>5084</v>
      </c>
      <c r="Q656" s="150"/>
      <c r="R656" s="98"/>
      <c r="S656" s="146"/>
      <c r="T656" s="284" t="s">
        <v>172</v>
      </c>
      <c r="U656" s="284" t="s">
        <v>173</v>
      </c>
      <c r="AA656"/>
      <c r="AB656"/>
      <c r="AC656" s="274"/>
      <c r="AD656" s="40"/>
    </row>
    <row r="657" spans="16:30" ht="10.5" customHeight="1">
      <c r="P657" s="150" t="s">
        <v>5085</v>
      </c>
      <c r="Q657" s="150"/>
      <c r="R657" s="98"/>
      <c r="S657" s="146"/>
      <c r="T657" s="284" t="s">
        <v>5086</v>
      </c>
      <c r="U657" s="284" t="s">
        <v>4068</v>
      </c>
      <c r="AA657"/>
      <c r="AB657"/>
      <c r="AC657" s="274"/>
      <c r="AD657" s="40"/>
    </row>
    <row r="658" spans="16:30" ht="10.5" customHeight="1">
      <c r="P658" s="150" t="s">
        <v>5087</v>
      </c>
      <c r="Q658" s="150"/>
      <c r="R658" s="98"/>
      <c r="S658" s="146"/>
      <c r="T658" s="284" t="s">
        <v>5088</v>
      </c>
      <c r="U658" s="284" t="s">
        <v>3924</v>
      </c>
      <c r="AA658"/>
      <c r="AB658"/>
      <c r="AC658" s="274"/>
      <c r="AD658" s="40"/>
    </row>
    <row r="659" spans="16:30" ht="10.5" customHeight="1">
      <c r="P659" s="150" t="s">
        <v>5089</v>
      </c>
      <c r="Q659" s="150"/>
      <c r="R659" s="98"/>
      <c r="S659" s="146"/>
      <c r="T659" s="146" t="s">
        <v>175</v>
      </c>
      <c r="U659" s="146" t="s">
        <v>137</v>
      </c>
      <c r="AA659"/>
      <c r="AB659"/>
      <c r="AC659" s="40"/>
      <c r="AD659" s="40"/>
    </row>
    <row r="660" spans="16:30" ht="10.5" customHeight="1">
      <c r="P660" s="150" t="s">
        <v>5090</v>
      </c>
      <c r="Q660" s="150"/>
      <c r="R660" s="98"/>
      <c r="S660" s="146"/>
      <c r="T660" s="284" t="s">
        <v>5091</v>
      </c>
      <c r="U660" s="284" t="s">
        <v>2218</v>
      </c>
      <c r="AA660"/>
      <c r="AB660"/>
      <c r="AC660" s="274"/>
      <c r="AD660" s="40"/>
    </row>
    <row r="661" spans="16:30" ht="10.5" customHeight="1">
      <c r="P661" s="150" t="s">
        <v>5092</v>
      </c>
      <c r="Q661" s="150"/>
      <c r="R661" s="98"/>
      <c r="S661" s="146"/>
      <c r="T661" s="284" t="s">
        <v>5093</v>
      </c>
      <c r="U661" s="284" t="s">
        <v>156</v>
      </c>
      <c r="AA661"/>
      <c r="AB661"/>
      <c r="AC661" s="274"/>
      <c r="AD661" s="40"/>
    </row>
    <row r="662" spans="16:30" ht="10.5" customHeight="1">
      <c r="P662" s="150" t="s">
        <v>5094</v>
      </c>
      <c r="Q662" s="150"/>
      <c r="R662" s="98"/>
      <c r="S662" s="146"/>
      <c r="T662" s="284" t="s">
        <v>5095</v>
      </c>
      <c r="U662" s="284" t="s">
        <v>4408</v>
      </c>
      <c r="AA662"/>
      <c r="AB662"/>
      <c r="AC662" s="274"/>
      <c r="AD662" s="40"/>
    </row>
    <row r="663" spans="16:30" ht="10.5" customHeight="1">
      <c r="P663" s="150" t="s">
        <v>5096</v>
      </c>
      <c r="Q663" s="150"/>
      <c r="R663" s="98"/>
      <c r="S663" s="146"/>
      <c r="T663" s="284" t="s">
        <v>5097</v>
      </c>
      <c r="U663" s="284" t="s">
        <v>3805</v>
      </c>
      <c r="AA663"/>
      <c r="AB663"/>
      <c r="AC663" s="274"/>
      <c r="AD663" s="40"/>
    </row>
    <row r="664" spans="16:30" ht="10.5" customHeight="1">
      <c r="P664" s="150" t="s">
        <v>5098</v>
      </c>
      <c r="Q664" s="150"/>
      <c r="R664" s="98"/>
      <c r="S664" s="146"/>
      <c r="T664" s="284" t="s">
        <v>5099</v>
      </c>
      <c r="U664" s="284" t="s">
        <v>4113</v>
      </c>
      <c r="AA664"/>
      <c r="AB664"/>
      <c r="AC664" s="274"/>
      <c r="AD664" s="40"/>
    </row>
    <row r="665" spans="16:30" ht="10.5" customHeight="1">
      <c r="P665" s="150" t="s">
        <v>5100</v>
      </c>
      <c r="Q665" s="150"/>
      <c r="R665" s="98"/>
      <c r="S665" s="146"/>
      <c r="T665" s="284" t="s">
        <v>5101</v>
      </c>
      <c r="U665" s="284" t="s">
        <v>4141</v>
      </c>
      <c r="AA665"/>
      <c r="AB665"/>
      <c r="AC665" s="274"/>
      <c r="AD665" s="40"/>
    </row>
    <row r="666" spans="16:30" ht="10.5" customHeight="1">
      <c r="P666" s="150" t="s">
        <v>5102</v>
      </c>
      <c r="Q666" s="150"/>
      <c r="R666" s="98"/>
      <c r="S666" s="146"/>
      <c r="T666" s="284" t="s">
        <v>5103</v>
      </c>
      <c r="U666" s="284" t="s">
        <v>4338</v>
      </c>
      <c r="AA666"/>
      <c r="AB666"/>
      <c r="AC666" s="274"/>
      <c r="AD666" s="40"/>
    </row>
    <row r="667" spans="16:30" ht="10.5" customHeight="1">
      <c r="P667" s="150" t="s">
        <v>5104</v>
      </c>
      <c r="Q667" s="150"/>
      <c r="R667" s="98"/>
      <c r="S667" s="146"/>
      <c r="T667" s="284" t="s">
        <v>2736</v>
      </c>
      <c r="U667" s="284" t="s">
        <v>140</v>
      </c>
      <c r="AA667"/>
      <c r="AB667"/>
      <c r="AC667" s="274"/>
      <c r="AD667" s="40"/>
    </row>
    <row r="668" spans="16:30" ht="10.5" customHeight="1">
      <c r="P668" s="150" t="s">
        <v>5105</v>
      </c>
      <c r="Q668" s="150"/>
      <c r="R668" s="98"/>
      <c r="S668" s="146"/>
      <c r="T668" s="284" t="s">
        <v>5106</v>
      </c>
      <c r="U668" s="284" t="s">
        <v>4394</v>
      </c>
      <c r="AA668"/>
      <c r="AB668"/>
      <c r="AC668" s="274"/>
      <c r="AD668" s="40"/>
    </row>
    <row r="669" spans="16:30" ht="10.5" customHeight="1">
      <c r="P669" s="150" t="s">
        <v>5107</v>
      </c>
      <c r="Q669" s="150"/>
      <c r="R669" s="98"/>
      <c r="S669" s="146"/>
      <c r="T669" s="284" t="s">
        <v>176</v>
      </c>
      <c r="U669" s="284" t="s">
        <v>98</v>
      </c>
      <c r="AA669"/>
      <c r="AB669"/>
      <c r="AC669" s="274"/>
      <c r="AD669" s="40"/>
    </row>
    <row r="670" spans="16:30" ht="10.5" customHeight="1">
      <c r="P670" s="150" t="s">
        <v>5108</v>
      </c>
      <c r="Q670" s="150"/>
      <c r="R670" s="98"/>
      <c r="S670" s="146"/>
      <c r="T670" s="146" t="s">
        <v>4350</v>
      </c>
      <c r="U670" s="146" t="s">
        <v>4459</v>
      </c>
      <c r="AA670"/>
      <c r="AB670"/>
      <c r="AC670" s="40"/>
      <c r="AD670" s="40"/>
    </row>
    <row r="671" spans="16:30" ht="10.5" customHeight="1">
      <c r="P671" s="150" t="s">
        <v>5109</v>
      </c>
      <c r="Q671" s="150"/>
      <c r="R671" s="98"/>
      <c r="S671" s="146"/>
      <c r="T671" s="284" t="s">
        <v>5110</v>
      </c>
      <c r="U671" s="284" t="s">
        <v>118</v>
      </c>
      <c r="AA671"/>
      <c r="AB671"/>
      <c r="AC671" s="274"/>
      <c r="AD671" s="40"/>
    </row>
    <row r="672" spans="16:30" ht="10.5" customHeight="1">
      <c r="P672" s="150" t="s">
        <v>5111</v>
      </c>
      <c r="Q672" s="150"/>
      <c r="R672" s="98"/>
      <c r="S672" s="146"/>
      <c r="T672" s="284" t="s">
        <v>5112</v>
      </c>
      <c r="U672" s="284" t="s">
        <v>3717</v>
      </c>
      <c r="AA672"/>
      <c r="AB672"/>
      <c r="AC672" s="274"/>
      <c r="AD672" s="40"/>
    </row>
    <row r="673" spans="16:30" ht="10.5" customHeight="1">
      <c r="P673" s="150" t="s">
        <v>5113</v>
      </c>
      <c r="Q673" s="150"/>
      <c r="R673" s="98"/>
      <c r="S673" s="146"/>
      <c r="T673" s="284" t="s">
        <v>5114</v>
      </c>
      <c r="U673" s="284" t="s">
        <v>4136</v>
      </c>
      <c r="AA673"/>
      <c r="AB673"/>
      <c r="AC673" s="274"/>
      <c r="AD673" s="40"/>
    </row>
    <row r="674" spans="16:30" ht="10.5" customHeight="1">
      <c r="P674" s="150" t="s">
        <v>5115</v>
      </c>
      <c r="Q674" s="150"/>
      <c r="R674" s="98"/>
      <c r="S674" s="146"/>
      <c r="T674" s="284" t="s">
        <v>177</v>
      </c>
      <c r="U674" s="284" t="s">
        <v>178</v>
      </c>
      <c r="AA674"/>
      <c r="AB674"/>
      <c r="AC674" s="274"/>
      <c r="AD674" s="40"/>
    </row>
    <row r="675" spans="16:30" ht="10.5" customHeight="1">
      <c r="P675" s="150" t="s">
        <v>5116</v>
      </c>
      <c r="Q675" s="150"/>
      <c r="R675" s="98"/>
      <c r="S675" s="146"/>
      <c r="T675" s="284" t="s">
        <v>5117</v>
      </c>
      <c r="U675" s="284" t="s">
        <v>4383</v>
      </c>
      <c r="AA675"/>
      <c r="AB675"/>
      <c r="AC675" s="274"/>
      <c r="AD675" s="40"/>
    </row>
    <row r="676" spans="16:30" ht="10.5" customHeight="1">
      <c r="P676" s="150" t="s">
        <v>5118</v>
      </c>
      <c r="Q676" s="150"/>
      <c r="R676" s="98"/>
      <c r="S676" s="146"/>
      <c r="T676" s="284" t="s">
        <v>5119</v>
      </c>
      <c r="U676" s="284" t="s">
        <v>118</v>
      </c>
      <c r="AA676"/>
      <c r="AB676"/>
      <c r="AC676" s="274"/>
      <c r="AD676" s="40"/>
    </row>
    <row r="677" spans="16:30" ht="10.5" customHeight="1">
      <c r="P677" s="150" t="s">
        <v>5120</v>
      </c>
      <c r="Q677" s="150"/>
      <c r="R677" s="98"/>
      <c r="S677" s="146"/>
      <c r="T677" s="284" t="s">
        <v>5121</v>
      </c>
      <c r="U677" s="284" t="s">
        <v>4333</v>
      </c>
      <c r="AA677"/>
      <c r="AB677"/>
      <c r="AC677" s="274"/>
      <c r="AD677" s="40"/>
    </row>
    <row r="678" spans="16:30" ht="10.5" customHeight="1">
      <c r="P678" s="150" t="s">
        <v>5122</v>
      </c>
      <c r="Q678" s="150"/>
      <c r="R678" s="98"/>
      <c r="S678" s="146"/>
      <c r="T678" s="284" t="s">
        <v>5123</v>
      </c>
      <c r="U678" s="284" t="s">
        <v>4104</v>
      </c>
      <c r="AA678"/>
      <c r="AB678"/>
      <c r="AC678" s="274"/>
      <c r="AD678" s="40"/>
    </row>
    <row r="679" spans="16:30" ht="10.5" customHeight="1">
      <c r="P679" s="150" t="s">
        <v>5124</v>
      </c>
      <c r="Q679" s="150"/>
      <c r="R679" s="98"/>
      <c r="S679" s="146"/>
      <c r="T679" s="284" t="s">
        <v>5125</v>
      </c>
      <c r="U679" s="284" t="s">
        <v>4070</v>
      </c>
      <c r="AA679"/>
      <c r="AB679"/>
      <c r="AC679" s="274"/>
      <c r="AD679" s="40"/>
    </row>
    <row r="680" spans="16:30" ht="10.5" customHeight="1">
      <c r="P680" s="150" t="s">
        <v>5126</v>
      </c>
      <c r="Q680" s="150"/>
      <c r="R680" s="98"/>
      <c r="S680" s="146"/>
      <c r="T680" s="284" t="s">
        <v>179</v>
      </c>
      <c r="U680" s="284" t="s">
        <v>140</v>
      </c>
      <c r="AA680"/>
      <c r="AB680"/>
      <c r="AC680" s="274"/>
      <c r="AD680" s="40"/>
    </row>
    <row r="681" spans="16:30" ht="10.5" customHeight="1">
      <c r="P681" s="150" t="s">
        <v>5127</v>
      </c>
      <c r="Q681" s="150"/>
      <c r="R681" s="98"/>
      <c r="S681" s="146"/>
      <c r="T681" s="284" t="s">
        <v>5128</v>
      </c>
      <c r="U681" s="284" t="s">
        <v>4328</v>
      </c>
      <c r="AA681"/>
      <c r="AB681"/>
      <c r="AC681" s="274"/>
      <c r="AD681" s="40"/>
    </row>
    <row r="682" spans="16:30" ht="10.5" customHeight="1">
      <c r="P682" s="150" t="s">
        <v>5129</v>
      </c>
      <c r="Q682" s="150"/>
      <c r="R682" s="98"/>
      <c r="S682" s="146"/>
      <c r="T682" s="146" t="s">
        <v>5130</v>
      </c>
      <c r="U682" s="146" t="s">
        <v>4186</v>
      </c>
      <c r="AA682"/>
      <c r="AB682"/>
      <c r="AC682" s="40"/>
      <c r="AD682" s="40"/>
    </row>
    <row r="683" spans="16:30" ht="10.5" customHeight="1">
      <c r="P683" s="150" t="s">
        <v>5131</v>
      </c>
      <c r="Q683" s="150"/>
      <c r="R683" s="98"/>
      <c r="S683" s="146"/>
      <c r="T683" s="146" t="s">
        <v>2206</v>
      </c>
      <c r="U683" s="146" t="s">
        <v>123</v>
      </c>
      <c r="AA683"/>
      <c r="AB683"/>
      <c r="AC683" s="40"/>
      <c r="AD683" s="40"/>
    </row>
    <row r="684" spans="16:30" ht="10.5" customHeight="1">
      <c r="P684" s="150" t="s">
        <v>5132</v>
      </c>
      <c r="Q684" s="150"/>
      <c r="R684" s="98"/>
      <c r="S684" s="146"/>
      <c r="T684" s="284" t="s">
        <v>5133</v>
      </c>
      <c r="U684" s="284" t="s">
        <v>3974</v>
      </c>
      <c r="AA684"/>
      <c r="AB684"/>
      <c r="AC684" s="274"/>
      <c r="AD684" s="40"/>
    </row>
    <row r="685" spans="16:30" ht="10.5" customHeight="1">
      <c r="P685" s="150" t="s">
        <v>5134</v>
      </c>
      <c r="Q685" s="150"/>
      <c r="R685" s="98"/>
      <c r="S685" s="146"/>
      <c r="T685" s="284" t="s">
        <v>2207</v>
      </c>
      <c r="U685" s="284" t="s">
        <v>3991</v>
      </c>
      <c r="AA685"/>
      <c r="AB685"/>
      <c r="AC685" s="274"/>
      <c r="AD685" s="40"/>
    </row>
    <row r="686" spans="16:30" ht="10.5" customHeight="1">
      <c r="P686" s="150" t="s">
        <v>5135</v>
      </c>
      <c r="Q686" s="150"/>
      <c r="R686" s="98"/>
      <c r="S686" s="146"/>
      <c r="T686" s="284" t="s">
        <v>5136</v>
      </c>
      <c r="U686" s="284" t="s">
        <v>4416</v>
      </c>
      <c r="AA686"/>
      <c r="AB686"/>
      <c r="AC686" s="274"/>
      <c r="AD686" s="40"/>
    </row>
    <row r="687" spans="16:30" ht="10.5" customHeight="1">
      <c r="P687" s="150" t="s">
        <v>5137</v>
      </c>
      <c r="Q687" s="150"/>
      <c r="R687" s="98"/>
      <c r="S687" s="146"/>
      <c r="T687" s="284" t="s">
        <v>5138</v>
      </c>
      <c r="U687" s="284" t="s">
        <v>156</v>
      </c>
      <c r="AA687"/>
      <c r="AB687"/>
      <c r="AC687" s="274"/>
      <c r="AD687" s="40"/>
    </row>
    <row r="688" spans="16:30" ht="10.5" customHeight="1">
      <c r="P688" s="150" t="s">
        <v>5139</v>
      </c>
      <c r="Q688" s="150"/>
      <c r="R688" s="98"/>
      <c r="S688" s="146"/>
      <c r="T688" s="284" t="s">
        <v>5140</v>
      </c>
      <c r="U688" s="284" t="s">
        <v>3738</v>
      </c>
      <c r="AA688"/>
      <c r="AB688"/>
      <c r="AC688" s="274"/>
      <c r="AD688" s="40"/>
    </row>
    <row r="689" spans="16:30" ht="10.5" customHeight="1">
      <c r="P689" s="150" t="s">
        <v>5141</v>
      </c>
      <c r="Q689" s="150"/>
      <c r="R689" s="98"/>
      <c r="S689" s="146"/>
      <c r="T689" s="284" t="s">
        <v>5142</v>
      </c>
      <c r="U689" s="284" t="s">
        <v>4091</v>
      </c>
      <c r="AA689"/>
      <c r="AB689"/>
      <c r="AC689" s="274"/>
      <c r="AD689" s="40"/>
    </row>
    <row r="690" spans="16:30" ht="10.5" customHeight="1">
      <c r="P690" s="150" t="s">
        <v>5143</v>
      </c>
      <c r="Q690" s="150"/>
      <c r="R690" s="98"/>
      <c r="S690" s="146"/>
      <c r="T690" s="284" t="s">
        <v>5144</v>
      </c>
      <c r="U690" s="284" t="s">
        <v>3987</v>
      </c>
      <c r="AA690"/>
      <c r="AB690"/>
      <c r="AC690" s="274"/>
      <c r="AD690" s="40"/>
    </row>
    <row r="691" spans="16:30" ht="10.5" customHeight="1">
      <c r="P691" s="150" t="s">
        <v>5145</v>
      </c>
      <c r="Q691" s="150"/>
      <c r="R691" s="98"/>
      <c r="S691" s="146"/>
      <c r="T691" s="284" t="s">
        <v>5146</v>
      </c>
      <c r="U691" s="284" t="s">
        <v>142</v>
      </c>
      <c r="AA691"/>
      <c r="AB691"/>
      <c r="AC691" s="274"/>
      <c r="AD691" s="40"/>
    </row>
    <row r="692" spans="16:30" ht="10.5" customHeight="1">
      <c r="P692" s="150" t="s">
        <v>5147</v>
      </c>
      <c r="Q692" s="150"/>
      <c r="R692" s="98"/>
      <c r="S692" s="146"/>
      <c r="T692" s="284" t="s">
        <v>174</v>
      </c>
      <c r="U692" s="284" t="s">
        <v>113</v>
      </c>
      <c r="AA692"/>
      <c r="AB692"/>
      <c r="AC692" s="274"/>
      <c r="AD692" s="40"/>
    </row>
    <row r="693" spans="16:30" ht="10.5" customHeight="1">
      <c r="P693" s="150" t="s">
        <v>5148</v>
      </c>
      <c r="Q693" s="150"/>
      <c r="R693" s="98"/>
      <c r="S693" s="146"/>
      <c r="T693" s="284" t="s">
        <v>5149</v>
      </c>
      <c r="U693" s="284" t="s">
        <v>3914</v>
      </c>
      <c r="AA693"/>
      <c r="AB693"/>
      <c r="AC693" s="274"/>
      <c r="AD693" s="40"/>
    </row>
    <row r="694" spans="16:30" ht="10.5" customHeight="1">
      <c r="P694" s="150" t="s">
        <v>5150</v>
      </c>
      <c r="Q694" s="150"/>
      <c r="R694" s="98"/>
      <c r="S694" s="146"/>
      <c r="T694" s="284" t="s">
        <v>5151</v>
      </c>
      <c r="U694" s="284" t="s">
        <v>3982</v>
      </c>
      <c r="AA694"/>
      <c r="AB694"/>
      <c r="AC694" s="274"/>
      <c r="AD694" s="40"/>
    </row>
    <row r="695" spans="16:30" ht="10.5" customHeight="1">
      <c r="P695" s="150" t="s">
        <v>5152</v>
      </c>
      <c r="Q695" s="150"/>
      <c r="R695" s="98"/>
      <c r="S695" s="146"/>
      <c r="T695" s="284" t="s">
        <v>2208</v>
      </c>
      <c r="U695" s="284" t="s">
        <v>109</v>
      </c>
      <c r="AA695"/>
      <c r="AB695"/>
      <c r="AC695" s="274"/>
      <c r="AD695" s="40"/>
    </row>
    <row r="696" spans="16:30" ht="10.5" customHeight="1">
      <c r="P696" s="150" t="s">
        <v>5153</v>
      </c>
      <c r="Q696" s="150"/>
      <c r="R696" s="98"/>
      <c r="S696" s="146"/>
      <c r="T696" s="284" t="s">
        <v>5154</v>
      </c>
      <c r="U696" s="284" t="s">
        <v>173</v>
      </c>
      <c r="AA696"/>
      <c r="AB696"/>
      <c r="AC696" s="274"/>
      <c r="AD696" s="40"/>
    </row>
    <row r="697" spans="16:30" ht="10.5" customHeight="1">
      <c r="P697" s="150" t="s">
        <v>5155</v>
      </c>
      <c r="Q697" s="150"/>
      <c r="R697" s="98"/>
      <c r="S697" s="146"/>
      <c r="T697" s="284" t="s">
        <v>5156</v>
      </c>
      <c r="U697" s="284" t="s">
        <v>4000</v>
      </c>
      <c r="AA697"/>
      <c r="AB697"/>
      <c r="AC697" s="274"/>
      <c r="AD697" s="40"/>
    </row>
    <row r="698" spans="16:30" ht="10.5" customHeight="1">
      <c r="P698" s="150" t="s">
        <v>5157</v>
      </c>
      <c r="Q698" s="150"/>
      <c r="R698" s="98"/>
      <c r="S698" s="146"/>
      <c r="T698" s="284" t="s">
        <v>5158</v>
      </c>
      <c r="U698" s="284" t="s">
        <v>101</v>
      </c>
      <c r="AA698"/>
      <c r="AB698"/>
      <c r="AC698" s="274"/>
      <c r="AD698" s="40"/>
    </row>
    <row r="699" spans="16:30" ht="10.5" customHeight="1">
      <c r="P699" s="150" t="s">
        <v>5159</v>
      </c>
      <c r="Q699" s="150"/>
      <c r="R699" s="98"/>
      <c r="S699" s="146"/>
      <c r="T699" s="284" t="s">
        <v>5160</v>
      </c>
      <c r="U699" s="284" t="s">
        <v>98</v>
      </c>
      <c r="AA699"/>
      <c r="AB699"/>
      <c r="AC699" s="274"/>
      <c r="AD699" s="40"/>
    </row>
    <row r="700" spans="16:30" ht="10.5" customHeight="1">
      <c r="P700" s="150" t="s">
        <v>5161</v>
      </c>
      <c r="Q700" s="150"/>
      <c r="R700" s="98"/>
      <c r="S700" s="146"/>
      <c r="T700" s="284" t="s">
        <v>5162</v>
      </c>
      <c r="U700" s="284" t="s">
        <v>98</v>
      </c>
      <c r="AA700"/>
      <c r="AB700"/>
      <c r="AC700" s="274"/>
      <c r="AD700" s="40"/>
    </row>
    <row r="701" spans="16:30" ht="10.5" customHeight="1">
      <c r="P701" s="150" t="s">
        <v>5163</v>
      </c>
      <c r="Q701" s="150"/>
      <c r="R701" s="98"/>
      <c r="S701" s="146"/>
      <c r="T701" s="284" t="s">
        <v>5164</v>
      </c>
      <c r="U701" s="284" t="s">
        <v>3974</v>
      </c>
      <c r="AA701"/>
      <c r="AB701"/>
      <c r="AC701" s="274"/>
      <c r="AD701" s="40"/>
    </row>
    <row r="702" spans="16:30" ht="10.5" customHeight="1">
      <c r="P702" s="150" t="s">
        <v>5165</v>
      </c>
      <c r="Q702" s="150"/>
      <c r="R702" s="98"/>
      <c r="S702" s="146"/>
      <c r="T702" s="284" t="s">
        <v>5166</v>
      </c>
      <c r="U702" s="284" t="s">
        <v>4000</v>
      </c>
      <c r="AA702"/>
      <c r="AB702"/>
      <c r="AC702" s="274"/>
      <c r="AD702" s="40"/>
    </row>
    <row r="703" spans="16:30" ht="10.5" customHeight="1">
      <c r="P703" s="150" t="s">
        <v>5167</v>
      </c>
      <c r="Q703" s="150"/>
      <c r="R703" s="98"/>
      <c r="S703" s="146"/>
      <c r="T703" s="284" t="s">
        <v>5168</v>
      </c>
      <c r="U703" s="284" t="s">
        <v>3862</v>
      </c>
      <c r="AA703"/>
      <c r="AB703"/>
      <c r="AC703" s="274"/>
      <c r="AD703" s="40"/>
    </row>
    <row r="704" spans="16:30" ht="10.5" customHeight="1">
      <c r="P704" s="150" t="s">
        <v>5169</v>
      </c>
      <c r="Q704" s="150"/>
      <c r="R704" s="98"/>
      <c r="S704" s="146"/>
      <c r="T704" s="284" t="s">
        <v>5170</v>
      </c>
      <c r="U704" s="284" t="s">
        <v>4493</v>
      </c>
      <c r="AA704"/>
      <c r="AB704"/>
      <c r="AC704" s="274"/>
      <c r="AD704" s="40"/>
    </row>
    <row r="705" spans="16:30" ht="10.5" customHeight="1">
      <c r="P705" s="150" t="s">
        <v>5171</v>
      </c>
      <c r="Q705" s="4733"/>
      <c r="R705" s="4733"/>
      <c r="S705" s="4734"/>
      <c r="T705" s="284" t="s">
        <v>5172</v>
      </c>
      <c r="U705" s="284" t="s">
        <v>116</v>
      </c>
      <c r="AA705"/>
      <c r="AB705"/>
      <c r="AC705" s="274"/>
      <c r="AD705" s="40"/>
    </row>
    <row r="706" spans="16:30" ht="10.5" customHeight="1">
      <c r="P706" s="4735"/>
      <c r="Q706" s="265"/>
      <c r="R706" s="2511"/>
      <c r="S706" s="96"/>
      <c r="T706" s="284" t="s">
        <v>180</v>
      </c>
      <c r="U706" s="284" t="s">
        <v>131</v>
      </c>
      <c r="AA706"/>
      <c r="AB706"/>
      <c r="AC706" s="274"/>
      <c r="AD706" s="40"/>
    </row>
    <row r="707" spans="16:30" ht="10.5" customHeight="1">
      <c r="P707" s="319"/>
      <c r="Q707" s="96"/>
      <c r="R707" s="96"/>
      <c r="S707" s="96"/>
      <c r="T707" s="284" t="s">
        <v>181</v>
      </c>
      <c r="U707" s="284" t="s">
        <v>133</v>
      </c>
      <c r="AA707"/>
      <c r="AB707"/>
      <c r="AC707" s="274"/>
      <c r="AD707" s="40"/>
    </row>
    <row r="708" spans="16:30" ht="10.5" customHeight="1">
      <c r="P708" s="96"/>
      <c r="Q708" s="96"/>
      <c r="R708" s="96"/>
      <c r="S708" s="96"/>
      <c r="T708" s="284" t="s">
        <v>5173</v>
      </c>
      <c r="U708" s="284" t="s">
        <v>3702</v>
      </c>
      <c r="AA708"/>
      <c r="AB708"/>
      <c r="AC708" s="274"/>
      <c r="AD708" s="40"/>
    </row>
    <row r="709" spans="16:30" ht="10.5" customHeight="1">
      <c r="P709" s="96"/>
      <c r="Q709" s="96"/>
      <c r="R709" s="96"/>
      <c r="S709" s="96"/>
      <c r="T709" s="284" t="s">
        <v>5174</v>
      </c>
      <c r="U709" s="284" t="s">
        <v>3974</v>
      </c>
      <c r="AA709"/>
      <c r="AB709"/>
      <c r="AC709" s="274"/>
      <c r="AD709" s="40"/>
    </row>
    <row r="710" spans="16:30" ht="10.5" customHeight="1">
      <c r="P710" s="96"/>
      <c r="Q710" s="96"/>
      <c r="R710" s="96"/>
      <c r="S710" s="96"/>
      <c r="T710" s="284" t="s">
        <v>5175</v>
      </c>
      <c r="U710" s="284" t="s">
        <v>4000</v>
      </c>
      <c r="AA710"/>
      <c r="AB710"/>
      <c r="AC710" s="274"/>
      <c r="AD710" s="40"/>
    </row>
    <row r="711" spans="16:30" ht="10.5" customHeight="1">
      <c r="P711" s="96"/>
      <c r="Q711" s="96"/>
      <c r="R711" s="96"/>
      <c r="S711" s="96"/>
      <c r="T711" s="146" t="s">
        <v>5176</v>
      </c>
      <c r="U711" s="146" t="s">
        <v>3873</v>
      </c>
      <c r="AA711"/>
      <c r="AB711"/>
      <c r="AC711" s="40"/>
      <c r="AD711" s="40"/>
    </row>
    <row r="712" spans="16:30" ht="10.5" customHeight="1">
      <c r="P712" s="96"/>
      <c r="Q712" s="96"/>
      <c r="R712" s="96"/>
      <c r="S712" s="96"/>
      <c r="T712" s="284" t="s">
        <v>5177</v>
      </c>
      <c r="U712" s="284" t="s">
        <v>4350</v>
      </c>
      <c r="AA712"/>
      <c r="AB712"/>
      <c r="AC712" s="274"/>
      <c r="AD712" s="40"/>
    </row>
    <row r="713" spans="16:30" ht="10.5" customHeight="1">
      <c r="P713" s="96"/>
      <c r="Q713" s="96"/>
      <c r="R713" s="96"/>
      <c r="S713" s="96"/>
      <c r="T713" s="284" t="s">
        <v>2209</v>
      </c>
      <c r="U713" s="284" t="s">
        <v>4493</v>
      </c>
      <c r="AA713"/>
      <c r="AB713"/>
      <c r="AC713" s="274"/>
      <c r="AD713" s="40"/>
    </row>
    <row r="714" spans="16:30" ht="10.5" customHeight="1">
      <c r="P714" s="96"/>
      <c r="Q714" s="96"/>
      <c r="R714" s="96"/>
      <c r="S714" s="96"/>
      <c r="T714" s="284" t="s">
        <v>5178</v>
      </c>
      <c r="U714" s="284" t="s">
        <v>140</v>
      </c>
      <c r="AA714"/>
      <c r="AB714"/>
      <c r="AC714" s="274"/>
      <c r="AD714" s="40"/>
    </row>
    <row r="715" spans="16:30" ht="10.5" customHeight="1">
      <c r="P715" s="96"/>
      <c r="Q715" s="96"/>
      <c r="R715" s="96"/>
      <c r="S715" s="96"/>
      <c r="T715" s="284" t="s">
        <v>5179</v>
      </c>
      <c r="U715" s="284" t="s">
        <v>4378</v>
      </c>
      <c r="AA715"/>
      <c r="AB715"/>
      <c r="AC715" s="274"/>
      <c r="AD715" s="40"/>
    </row>
    <row r="716" spans="16:30" ht="10.5" customHeight="1">
      <c r="P716" s="96"/>
      <c r="Q716" s="96"/>
      <c r="R716" s="96"/>
      <c r="S716" s="96"/>
      <c r="T716" s="284" t="s">
        <v>5180</v>
      </c>
      <c r="U716" s="284" t="s">
        <v>4300</v>
      </c>
      <c r="AA716"/>
      <c r="AB716"/>
      <c r="AC716" s="274"/>
      <c r="AD716" s="40"/>
    </row>
    <row r="717" spans="16:30" ht="10.5" customHeight="1">
      <c r="P717" s="96"/>
      <c r="Q717" s="96"/>
      <c r="R717" s="96"/>
      <c r="S717" s="96"/>
      <c r="T717" s="284" t="s">
        <v>5181</v>
      </c>
      <c r="U717" s="284" t="s">
        <v>4098</v>
      </c>
      <c r="AA717"/>
      <c r="AB717"/>
      <c r="AC717" s="274"/>
      <c r="AD717" s="40"/>
    </row>
    <row r="718" spans="16:30" ht="10.5" customHeight="1">
      <c r="P718" s="96"/>
      <c r="Q718" s="96"/>
      <c r="R718" s="96"/>
      <c r="S718" s="96"/>
      <c r="T718" s="284" t="s">
        <v>5182</v>
      </c>
      <c r="U718" s="284" t="s">
        <v>166</v>
      </c>
      <c r="AA718"/>
      <c r="AB718"/>
      <c r="AC718" s="274"/>
      <c r="AD718" s="40"/>
    </row>
    <row r="719" spans="16:30" ht="10.5" customHeight="1">
      <c r="P719" s="96"/>
      <c r="Q719" s="96"/>
      <c r="R719" s="96"/>
      <c r="S719" s="96"/>
      <c r="T719" s="284" t="s">
        <v>5183</v>
      </c>
      <c r="U719" s="284" t="s">
        <v>3851</v>
      </c>
      <c r="AA719"/>
      <c r="AB719"/>
      <c r="AC719" s="274"/>
      <c r="AD719" s="40"/>
    </row>
    <row r="720" spans="16:30" ht="10.5" customHeight="1">
      <c r="P720" s="96"/>
      <c r="Q720" s="96"/>
      <c r="R720" s="96"/>
      <c r="S720" s="96"/>
      <c r="T720" s="284" t="s">
        <v>5184</v>
      </c>
      <c r="U720" s="284" t="s">
        <v>152</v>
      </c>
      <c r="AA720"/>
      <c r="AB720"/>
      <c r="AC720" s="274"/>
      <c r="AD720" s="40"/>
    </row>
    <row r="721" spans="16:30" ht="10.5" customHeight="1">
      <c r="P721" s="96"/>
      <c r="Q721" s="96"/>
      <c r="R721" s="96"/>
      <c r="S721" s="96"/>
      <c r="T721" s="146" t="s">
        <v>5185</v>
      </c>
      <c r="U721" s="146" t="s">
        <v>131</v>
      </c>
      <c r="AA721"/>
      <c r="AB721"/>
      <c r="AC721" s="40"/>
      <c r="AD721" s="40"/>
    </row>
    <row r="722" spans="16:30" ht="10.5" customHeight="1">
      <c r="P722" s="96"/>
      <c r="Q722" s="96"/>
      <c r="R722" s="96"/>
      <c r="S722" s="96"/>
      <c r="T722" s="284" t="s">
        <v>5186</v>
      </c>
      <c r="U722" s="284" t="s">
        <v>3731</v>
      </c>
      <c r="AA722"/>
      <c r="AB722"/>
      <c r="AC722" s="274"/>
      <c r="AD722" s="40"/>
    </row>
    <row r="723" spans="16:30" ht="10.5" customHeight="1">
      <c r="P723" s="96"/>
      <c r="Q723" s="96"/>
      <c r="R723" s="96"/>
      <c r="S723" s="96"/>
      <c r="T723" s="284" t="s">
        <v>5187</v>
      </c>
      <c r="U723" s="284" t="s">
        <v>3834</v>
      </c>
      <c r="AA723"/>
      <c r="AB723"/>
      <c r="AC723" s="274"/>
      <c r="AD723" s="40"/>
    </row>
    <row r="724" spans="16:30" ht="10.5" customHeight="1">
      <c r="P724" s="96"/>
      <c r="Q724" s="96"/>
      <c r="R724" s="96"/>
      <c r="S724" s="96"/>
      <c r="T724" s="284" t="s">
        <v>5188</v>
      </c>
      <c r="U724" s="284" t="s">
        <v>2218</v>
      </c>
      <c r="AA724"/>
      <c r="AB724"/>
      <c r="AC724" s="274"/>
      <c r="AD724" s="40"/>
    </row>
    <row r="725" spans="16:30" ht="10.5" customHeight="1">
      <c r="P725" s="96"/>
      <c r="Q725" s="96"/>
      <c r="R725" s="96"/>
      <c r="S725" s="96"/>
      <c r="T725" s="284" t="s">
        <v>5189</v>
      </c>
      <c r="U725" s="284" t="s">
        <v>133</v>
      </c>
      <c r="AA725"/>
      <c r="AB725"/>
      <c r="AC725" s="274"/>
      <c r="AD725" s="40"/>
    </row>
    <row r="726" spans="16:30" ht="10.5" customHeight="1">
      <c r="P726" s="96"/>
      <c r="Q726" s="96"/>
      <c r="R726" s="96"/>
      <c r="S726" s="96"/>
      <c r="T726" s="284" t="s">
        <v>5190</v>
      </c>
      <c r="U726" s="284" t="s">
        <v>133</v>
      </c>
      <c r="AA726"/>
      <c r="AB726"/>
      <c r="AC726" s="274"/>
      <c r="AD726" s="40"/>
    </row>
    <row r="727" spans="16:30" ht="10.5" customHeight="1">
      <c r="P727" s="96"/>
      <c r="Q727" s="96"/>
      <c r="R727" s="96"/>
      <c r="S727" s="96"/>
      <c r="T727" s="284" t="s">
        <v>2210</v>
      </c>
      <c r="U727" s="284" t="s">
        <v>3953</v>
      </c>
      <c r="AA727"/>
      <c r="AB727"/>
      <c r="AC727" s="274"/>
      <c r="AD727" s="40"/>
    </row>
    <row r="728" spans="16:30" ht="10.5" customHeight="1">
      <c r="P728" s="96"/>
      <c r="Q728" s="96"/>
      <c r="R728" s="96"/>
      <c r="S728" s="96"/>
      <c r="T728" s="284" t="s">
        <v>5191</v>
      </c>
      <c r="U728" s="284" t="s">
        <v>4231</v>
      </c>
      <c r="AA728"/>
      <c r="AB728"/>
      <c r="AC728" s="274"/>
      <c r="AD728" s="40"/>
    </row>
    <row r="729" spans="16:30" ht="10.5" customHeight="1">
      <c r="P729" s="96"/>
      <c r="Q729" s="96"/>
      <c r="R729" s="96"/>
      <c r="S729" s="96"/>
      <c r="T729" s="284" t="s">
        <v>5192</v>
      </c>
      <c r="U729" s="284" t="s">
        <v>140</v>
      </c>
      <c r="AA729"/>
      <c r="AB729"/>
      <c r="AC729" s="274"/>
      <c r="AD729" s="40"/>
    </row>
    <row r="730" spans="16:30" ht="10.5" customHeight="1">
      <c r="P730" s="96"/>
      <c r="Q730" s="96"/>
      <c r="R730" s="96"/>
      <c r="S730" s="96"/>
      <c r="T730" s="146" t="s">
        <v>2211</v>
      </c>
      <c r="U730" s="146" t="s">
        <v>162</v>
      </c>
      <c r="AA730"/>
      <c r="AB730"/>
      <c r="AC730" s="40"/>
      <c r="AD730" s="40"/>
    </row>
    <row r="731" spans="16:30" ht="10.5" customHeight="1">
      <c r="P731" s="96"/>
      <c r="Q731" s="96"/>
      <c r="R731" s="96"/>
      <c r="S731" s="96"/>
      <c r="T731" s="284" t="s">
        <v>5193</v>
      </c>
      <c r="U731" s="284" t="s">
        <v>4328</v>
      </c>
      <c r="AA731"/>
      <c r="AB731"/>
      <c r="AC731" s="274"/>
      <c r="AD731" s="40"/>
    </row>
    <row r="732" spans="16:30" ht="10.5" customHeight="1">
      <c r="P732" s="96"/>
      <c r="Q732" s="96"/>
      <c r="R732" s="96"/>
      <c r="S732" s="96"/>
      <c r="T732" s="284" t="s">
        <v>5194</v>
      </c>
      <c r="U732" s="284" t="s">
        <v>4484</v>
      </c>
      <c r="AA732"/>
      <c r="AB732"/>
      <c r="AC732" s="274"/>
      <c r="AD732" s="40"/>
    </row>
    <row r="733" spans="16:30" ht="10.5" customHeight="1">
      <c r="P733" s="96"/>
      <c r="Q733" s="96"/>
      <c r="R733" s="96"/>
      <c r="S733" s="96"/>
      <c r="T733" s="284" t="s">
        <v>5195</v>
      </c>
      <c r="U733" s="284" t="s">
        <v>3909</v>
      </c>
      <c r="AA733"/>
      <c r="AB733"/>
      <c r="AC733" s="274"/>
      <c r="AD733" s="40"/>
    </row>
    <row r="734" spans="16:30" ht="10.5" customHeight="1">
      <c r="P734" s="96"/>
      <c r="Q734" s="96"/>
      <c r="R734" s="96"/>
      <c r="S734" s="96"/>
      <c r="T734" s="284" t="s">
        <v>5196</v>
      </c>
      <c r="U734" s="284" t="s">
        <v>3786</v>
      </c>
      <c r="AA734"/>
      <c r="AB734"/>
      <c r="AC734" s="274"/>
      <c r="AD734" s="40"/>
    </row>
    <row r="735" spans="16:30" ht="10.5" customHeight="1">
      <c r="P735" s="96"/>
      <c r="Q735" s="96"/>
      <c r="R735" s="96"/>
      <c r="S735" s="96"/>
      <c r="T735" s="284" t="s">
        <v>5197</v>
      </c>
      <c r="U735" s="284" t="s">
        <v>3935</v>
      </c>
      <c r="AA735"/>
      <c r="AB735"/>
      <c r="AC735" s="274"/>
      <c r="AD735" s="40"/>
    </row>
    <row r="736" spans="16:30" ht="10.5" customHeight="1">
      <c r="P736" s="96"/>
      <c r="Q736" s="96"/>
      <c r="R736" s="96"/>
      <c r="S736" s="96"/>
      <c r="T736" s="284" t="s">
        <v>5198</v>
      </c>
      <c r="U736" s="284" t="s">
        <v>3862</v>
      </c>
      <c r="AA736"/>
      <c r="AB736"/>
      <c r="AC736" s="274"/>
      <c r="AD736" s="40"/>
    </row>
    <row r="737" spans="16:30" ht="10.5" customHeight="1">
      <c r="P737" s="96"/>
      <c r="Q737" s="96"/>
      <c r="R737" s="96"/>
      <c r="S737" s="96"/>
      <c r="T737" s="284" t="s">
        <v>182</v>
      </c>
      <c r="U737" s="284" t="s">
        <v>98</v>
      </c>
      <c r="AA737"/>
      <c r="AB737"/>
      <c r="AC737" s="274"/>
      <c r="AD737" s="40"/>
    </row>
    <row r="738" spans="16:30" ht="10.5" customHeight="1">
      <c r="P738" s="96"/>
      <c r="Q738" s="96"/>
      <c r="R738" s="96"/>
      <c r="S738" s="96"/>
      <c r="T738" s="284" t="s">
        <v>5199</v>
      </c>
      <c r="U738" s="284" t="s">
        <v>4355</v>
      </c>
      <c r="AA738"/>
      <c r="AB738"/>
      <c r="AC738" s="274"/>
      <c r="AD738" s="40"/>
    </row>
    <row r="739" spans="16:30" ht="10.5" customHeight="1">
      <c r="P739" s="96"/>
      <c r="Q739" s="96"/>
      <c r="R739" s="96"/>
      <c r="S739" s="96"/>
      <c r="T739" s="284" t="s">
        <v>5200</v>
      </c>
      <c r="U739" s="284" t="s">
        <v>118</v>
      </c>
      <c r="AA739"/>
      <c r="AB739"/>
      <c r="AC739" s="274"/>
      <c r="AD739" s="40"/>
    </row>
    <row r="740" spans="16:30" ht="10.5" customHeight="1">
      <c r="P740" s="96"/>
      <c r="Q740" s="96"/>
      <c r="R740" s="96"/>
      <c r="S740" s="96"/>
      <c r="T740" s="284" t="s">
        <v>5201</v>
      </c>
      <c r="U740" s="284" t="s">
        <v>4000</v>
      </c>
      <c r="AA740"/>
      <c r="AB740"/>
      <c r="AC740" s="274"/>
      <c r="AD740" s="40"/>
    </row>
    <row r="741" spans="16:30" ht="10.5" customHeight="1">
      <c r="P741" s="96"/>
      <c r="Q741" s="96"/>
      <c r="R741" s="96"/>
      <c r="S741" s="96"/>
      <c r="T741" s="284" t="s">
        <v>5202</v>
      </c>
      <c r="U741" s="284" t="s">
        <v>162</v>
      </c>
      <c r="AA741"/>
      <c r="AB741"/>
      <c r="AC741" s="274"/>
      <c r="AD741" s="40"/>
    </row>
    <row r="742" spans="16:30" ht="10.5" customHeight="1">
      <c r="P742" s="96"/>
      <c r="Q742" s="96"/>
      <c r="R742" s="96"/>
      <c r="S742" s="96"/>
      <c r="T742" s="284" t="s">
        <v>5203</v>
      </c>
      <c r="U742" s="284" t="s">
        <v>140</v>
      </c>
      <c r="AA742"/>
      <c r="AB742"/>
      <c r="AC742" s="274"/>
      <c r="AD742" s="40"/>
    </row>
    <row r="743" spans="16:30" ht="10.5" customHeight="1">
      <c r="P743" s="96"/>
      <c r="Q743" s="96"/>
      <c r="R743" s="96"/>
      <c r="S743" s="96"/>
      <c r="T743" s="284" t="s">
        <v>5204</v>
      </c>
      <c r="U743" s="284" t="s">
        <v>4018</v>
      </c>
      <c r="AA743"/>
      <c r="AB743"/>
      <c r="AC743" s="274"/>
      <c r="AD743" s="40"/>
    </row>
    <row r="744" spans="16:30" ht="10.5" customHeight="1">
      <c r="P744" s="96"/>
      <c r="Q744" s="96"/>
      <c r="R744" s="96"/>
      <c r="S744" s="96"/>
      <c r="T744" s="284" t="s">
        <v>5205</v>
      </c>
      <c r="U744" s="284" t="s">
        <v>3961</v>
      </c>
      <c r="AA744"/>
      <c r="AB744"/>
      <c r="AC744" s="274"/>
      <c r="AD744" s="40"/>
    </row>
    <row r="745" spans="16:30" ht="10.5" customHeight="1">
      <c r="P745" s="96"/>
      <c r="Q745" s="96"/>
      <c r="R745" s="96"/>
      <c r="S745" s="96"/>
      <c r="T745" s="284" t="s">
        <v>2213</v>
      </c>
      <c r="U745" s="284" t="s">
        <v>156</v>
      </c>
      <c r="AA745"/>
      <c r="AB745"/>
      <c r="AC745" s="274"/>
      <c r="AD745" s="40"/>
    </row>
    <row r="746" spans="16:30" ht="10.5" customHeight="1">
      <c r="P746" s="96"/>
      <c r="Q746" s="96"/>
      <c r="R746" s="96"/>
      <c r="S746" s="96"/>
      <c r="T746" s="284" t="s">
        <v>5206</v>
      </c>
      <c r="U746" s="284" t="s">
        <v>4070</v>
      </c>
      <c r="AA746"/>
      <c r="AB746"/>
      <c r="AC746" s="274"/>
      <c r="AD746" s="40"/>
    </row>
    <row r="747" spans="16:30" ht="10.5" customHeight="1">
      <c r="P747" s="96"/>
      <c r="Q747" s="96"/>
      <c r="R747" s="96"/>
      <c r="S747" s="96"/>
      <c r="T747" s="284" t="s">
        <v>183</v>
      </c>
      <c r="U747" s="284" t="s">
        <v>162</v>
      </c>
      <c r="AA747"/>
      <c r="AB747"/>
      <c r="AC747" s="274"/>
      <c r="AD747" s="40"/>
    </row>
    <row r="748" spans="16:30" ht="10.5" customHeight="1">
      <c r="P748" s="96"/>
      <c r="Q748" s="96"/>
      <c r="R748" s="96"/>
      <c r="S748" s="96"/>
      <c r="T748" s="284" t="s">
        <v>5207</v>
      </c>
      <c r="U748" s="284" t="s">
        <v>152</v>
      </c>
      <c r="AA748"/>
      <c r="AB748"/>
      <c r="AC748" s="274"/>
      <c r="AD748" s="40"/>
    </row>
    <row r="749" spans="16:30" ht="10.5" customHeight="1">
      <c r="P749" s="96"/>
      <c r="Q749" s="96"/>
      <c r="R749" s="96"/>
      <c r="S749" s="96"/>
      <c r="T749" s="284" t="s">
        <v>2214</v>
      </c>
      <c r="U749" s="284" t="s">
        <v>154</v>
      </c>
      <c r="AA749"/>
      <c r="AB749"/>
      <c r="AC749" s="274"/>
      <c r="AD749" s="40"/>
    </row>
    <row r="750" spans="16:30" ht="10.5" customHeight="1">
      <c r="P750" s="96"/>
      <c r="Q750" s="96"/>
      <c r="R750" s="96"/>
      <c r="S750" s="96"/>
      <c r="T750" s="146" t="s">
        <v>5208</v>
      </c>
      <c r="U750" s="146" t="s">
        <v>4355</v>
      </c>
      <c r="AA750"/>
      <c r="AB750"/>
      <c r="AC750" s="40"/>
      <c r="AD750" s="40"/>
    </row>
    <row r="751" spans="16:30" ht="10.5" customHeight="1">
      <c r="P751" s="96"/>
      <c r="Q751" s="96"/>
      <c r="R751" s="96"/>
      <c r="S751" s="96"/>
      <c r="T751" s="284" t="s">
        <v>5209</v>
      </c>
      <c r="U751" s="284" t="s">
        <v>140</v>
      </c>
      <c r="AA751"/>
      <c r="AB751"/>
      <c r="AC751" s="274"/>
      <c r="AD751" s="40"/>
    </row>
    <row r="752" spans="16:30" ht="10.5" customHeight="1">
      <c r="P752" s="96"/>
      <c r="Q752" s="96"/>
      <c r="R752" s="96"/>
      <c r="S752" s="96"/>
      <c r="T752" s="284" t="s">
        <v>5210</v>
      </c>
      <c r="U752" s="284" t="s">
        <v>4408</v>
      </c>
      <c r="AA752"/>
      <c r="AB752"/>
      <c r="AC752" s="274"/>
      <c r="AD752" s="40"/>
    </row>
    <row r="753" spans="16:30" ht="10.5" customHeight="1">
      <c r="P753" s="96"/>
      <c r="Q753" s="96"/>
      <c r="R753" s="96"/>
      <c r="S753" s="96"/>
      <c r="T753" s="284" t="s">
        <v>5211</v>
      </c>
      <c r="U753" s="284" t="s">
        <v>3805</v>
      </c>
      <c r="AA753"/>
      <c r="AB753"/>
      <c r="AC753" s="274"/>
      <c r="AD753" s="40"/>
    </row>
    <row r="754" spans="16:30" ht="10.5" customHeight="1">
      <c r="P754" s="96"/>
      <c r="Q754" s="96"/>
      <c r="R754" s="96"/>
      <c r="S754" s="96"/>
      <c r="T754" s="146" t="s">
        <v>2215</v>
      </c>
      <c r="U754" s="146" t="s">
        <v>3961</v>
      </c>
      <c r="AA754"/>
      <c r="AB754"/>
      <c r="AC754" s="40"/>
      <c r="AD754" s="40"/>
    </row>
    <row r="755" spans="16:30" ht="10.5" customHeight="1">
      <c r="P755" s="96"/>
      <c r="Q755" s="96"/>
      <c r="R755" s="96"/>
      <c r="S755" s="96"/>
      <c r="T755" s="284" t="s">
        <v>5212</v>
      </c>
      <c r="U755" s="284" t="s">
        <v>3834</v>
      </c>
      <c r="AA755"/>
      <c r="AB755"/>
      <c r="AC755" s="274"/>
      <c r="AD755" s="40"/>
    </row>
    <row r="756" spans="16:30" ht="10.5" customHeight="1">
      <c r="P756" s="96"/>
      <c r="Q756" s="96"/>
      <c r="R756" s="96"/>
      <c r="S756" s="96"/>
      <c r="T756" s="284" t="s">
        <v>184</v>
      </c>
      <c r="U756" s="284" t="s">
        <v>123</v>
      </c>
      <c r="AA756"/>
      <c r="AB756"/>
      <c r="AC756" s="274"/>
      <c r="AD756" s="40"/>
    </row>
    <row r="757" spans="16:30" ht="10.5" customHeight="1">
      <c r="P757" s="96"/>
      <c r="Q757" s="96"/>
      <c r="R757" s="96"/>
      <c r="S757" s="96"/>
      <c r="T757" s="284" t="s">
        <v>5213</v>
      </c>
      <c r="U757" s="284" t="s">
        <v>4098</v>
      </c>
      <c r="AA757"/>
      <c r="AB757"/>
      <c r="AC757" s="274"/>
      <c r="AD757" s="40"/>
    </row>
    <row r="758" spans="16:30" ht="10.5" customHeight="1">
      <c r="P758" s="96"/>
      <c r="Q758" s="96"/>
      <c r="R758" s="96"/>
      <c r="S758" s="96"/>
      <c r="T758" s="284" t="s">
        <v>5214</v>
      </c>
      <c r="U758" s="284" t="s">
        <v>3914</v>
      </c>
      <c r="AA758"/>
      <c r="AB758"/>
      <c r="AC758" s="274"/>
      <c r="AD758" s="40"/>
    </row>
    <row r="759" spans="16:30" ht="10.5" customHeight="1">
      <c r="P759" s="96"/>
      <c r="Q759" s="96"/>
      <c r="R759" s="96"/>
      <c r="S759" s="96"/>
      <c r="T759" s="284" t="s">
        <v>5215</v>
      </c>
      <c r="U759" s="284" t="s">
        <v>3869</v>
      </c>
      <c r="AA759"/>
      <c r="AB759"/>
      <c r="AC759" s="274"/>
      <c r="AD759" s="40"/>
    </row>
    <row r="760" spans="16:30" ht="10.5" customHeight="1">
      <c r="P760" s="96"/>
      <c r="Q760" s="96"/>
      <c r="R760" s="96"/>
      <c r="S760" s="96"/>
      <c r="T760" s="284" t="s">
        <v>5216</v>
      </c>
      <c r="U760" s="284" t="s">
        <v>3991</v>
      </c>
      <c r="AA760"/>
      <c r="AB760"/>
      <c r="AC760" s="274"/>
      <c r="AD760" s="40"/>
    </row>
    <row r="761" spans="16:30" ht="10.5" customHeight="1">
      <c r="P761" s="96"/>
      <c r="Q761" s="96"/>
      <c r="R761" s="96"/>
      <c r="S761" s="96"/>
      <c r="T761" s="284" t="s">
        <v>5217</v>
      </c>
      <c r="U761" s="284" t="s">
        <v>126</v>
      </c>
      <c r="AA761"/>
      <c r="AB761"/>
      <c r="AC761" s="274"/>
      <c r="AD761" s="40"/>
    </row>
    <row r="762" spans="16:30" ht="10.5" customHeight="1">
      <c r="P762" s="96"/>
      <c r="Q762" s="96"/>
      <c r="R762" s="96"/>
      <c r="S762" s="96"/>
      <c r="T762" s="284" t="s">
        <v>5218</v>
      </c>
      <c r="U762" s="284" t="s">
        <v>4241</v>
      </c>
      <c r="AA762"/>
      <c r="AB762"/>
      <c r="AC762" s="274"/>
      <c r="AD762" s="40"/>
    </row>
    <row r="763" spans="16:30" ht="10.5" customHeight="1">
      <c r="P763" s="96"/>
      <c r="Q763" s="96"/>
      <c r="R763" s="96"/>
      <c r="S763" s="96"/>
      <c r="T763" s="284" t="s">
        <v>2216</v>
      </c>
      <c r="U763" s="284" t="s">
        <v>171</v>
      </c>
      <c r="AA763"/>
      <c r="AB763"/>
      <c r="AC763" s="274"/>
      <c r="AD763" s="40"/>
    </row>
    <row r="764" spans="16:30" ht="10.5" customHeight="1">
      <c r="P764" s="96"/>
      <c r="Q764" s="96"/>
      <c r="R764" s="96"/>
      <c r="S764" s="96"/>
      <c r="T764" s="284" t="s">
        <v>2217</v>
      </c>
      <c r="U764" s="284" t="s">
        <v>4201</v>
      </c>
      <c r="AA764"/>
      <c r="AB764"/>
      <c r="AC764" s="274"/>
      <c r="AD764" s="40"/>
    </row>
    <row r="765" spans="16:30" ht="10.5" customHeight="1">
      <c r="P765" s="96"/>
      <c r="Q765" s="96"/>
      <c r="R765" s="96"/>
      <c r="S765" s="96"/>
      <c r="T765" s="284" t="s">
        <v>5219</v>
      </c>
      <c r="U765" s="284" t="s">
        <v>4493</v>
      </c>
      <c r="AA765"/>
      <c r="AB765"/>
      <c r="AC765" s="274"/>
      <c r="AD765" s="40"/>
    </row>
    <row r="766" spans="16:30" ht="10.5" customHeight="1">
      <c r="P766" s="96"/>
      <c r="Q766" s="96"/>
      <c r="R766" s="96"/>
      <c r="S766" s="96"/>
      <c r="T766" s="284" t="s">
        <v>2218</v>
      </c>
      <c r="U766" s="284" t="s">
        <v>4484</v>
      </c>
      <c r="AA766"/>
      <c r="AB766"/>
      <c r="AC766" s="274"/>
      <c r="AD766" s="40"/>
    </row>
    <row r="767" spans="16:30" ht="10.5" customHeight="1">
      <c r="P767" s="96"/>
      <c r="Q767" s="96"/>
      <c r="R767" s="96"/>
      <c r="S767" s="96"/>
      <c r="T767" s="284" t="s">
        <v>5220</v>
      </c>
      <c r="U767" s="284" t="s">
        <v>4005</v>
      </c>
      <c r="AA767"/>
      <c r="AB767"/>
      <c r="AC767" s="274"/>
      <c r="AD767" s="40"/>
    </row>
    <row r="768" spans="16:30" ht="10.5" customHeight="1">
      <c r="P768" s="96"/>
      <c r="Q768" s="96"/>
      <c r="R768" s="96"/>
      <c r="S768" s="96"/>
      <c r="T768" s="146" t="s">
        <v>5221</v>
      </c>
      <c r="U768" s="146" t="s">
        <v>4104</v>
      </c>
      <c r="AA768"/>
      <c r="AB768"/>
      <c r="AC768" s="40"/>
      <c r="AD768" s="40"/>
    </row>
    <row r="769" spans="16:30" ht="10.5" customHeight="1">
      <c r="P769" s="96"/>
      <c r="Q769" s="96"/>
      <c r="R769" s="96"/>
      <c r="S769" s="96"/>
      <c r="T769" s="284" t="s">
        <v>5222</v>
      </c>
      <c r="U769" s="284" t="s">
        <v>111</v>
      </c>
      <c r="AA769"/>
      <c r="AB769"/>
      <c r="AC769" s="274"/>
      <c r="AD769" s="40"/>
    </row>
    <row r="770" spans="16:30">
      <c r="P770" s="96"/>
      <c r="Q770" s="96"/>
      <c r="R770" s="96"/>
      <c r="S770" s="96"/>
      <c r="T770" s="284" t="s">
        <v>2219</v>
      </c>
      <c r="U770" s="146" t="s">
        <v>3805</v>
      </c>
      <c r="AA770"/>
      <c r="AB770"/>
      <c r="AC770" s="274"/>
      <c r="AD770" s="40"/>
    </row>
    <row r="771" spans="16:30">
      <c r="P771" s="96"/>
      <c r="Q771" s="96"/>
      <c r="R771" s="96"/>
      <c r="S771" s="96"/>
      <c r="T771" s="146" t="s">
        <v>5223</v>
      </c>
      <c r="U771" s="146" t="s">
        <v>4421</v>
      </c>
      <c r="AA771"/>
      <c r="AB771"/>
      <c r="AC771" s="40"/>
      <c r="AD771" s="40"/>
    </row>
    <row r="772" spans="16:30">
      <c r="P772" s="96"/>
      <c r="Q772" s="96"/>
      <c r="R772" s="96"/>
      <c r="S772" s="96"/>
      <c r="T772" s="146" t="s">
        <v>5224</v>
      </c>
      <c r="U772" s="146" t="s">
        <v>4464</v>
      </c>
      <c r="AA772"/>
      <c r="AB772"/>
      <c r="AC772" s="40"/>
      <c r="AD772" s="40"/>
    </row>
    <row r="773" spans="16:30">
      <c r="P773" s="96"/>
      <c r="Q773" s="96"/>
      <c r="R773" s="96"/>
      <c r="S773" s="96"/>
      <c r="T773" s="146" t="s">
        <v>5225</v>
      </c>
      <c r="U773" s="146" t="s">
        <v>4063</v>
      </c>
      <c r="AA773"/>
      <c r="AB773"/>
      <c r="AC773" s="40"/>
      <c r="AD773" s="40"/>
    </row>
    <row r="774" spans="16:30">
      <c r="P774" s="96"/>
      <c r="Q774" s="96"/>
      <c r="R774" s="96"/>
      <c r="S774" s="96"/>
      <c r="T774" s="146" t="s">
        <v>4338</v>
      </c>
      <c r="U774" s="146" t="s">
        <v>3731</v>
      </c>
      <c r="AA774"/>
      <c r="AB774"/>
      <c r="AC774" s="40"/>
      <c r="AD774" s="40"/>
    </row>
    <row r="775" spans="16:30">
      <c r="P775" s="96"/>
      <c r="Q775" s="96"/>
      <c r="R775" s="96"/>
      <c r="S775" s="96"/>
      <c r="T775" s="146" t="s">
        <v>5226</v>
      </c>
      <c r="U775" s="146" t="s">
        <v>4070</v>
      </c>
      <c r="AA775"/>
      <c r="AB775"/>
      <c r="AC775" s="40"/>
      <c r="AD775" s="40"/>
    </row>
    <row r="776" spans="16:30">
      <c r="P776" s="96"/>
      <c r="Q776" s="96"/>
      <c r="R776" s="96"/>
      <c r="S776" s="96"/>
      <c r="T776" s="146" t="s">
        <v>185</v>
      </c>
      <c r="U776" s="146" t="s">
        <v>140</v>
      </c>
      <c r="AA776"/>
      <c r="AB776"/>
      <c r="AC776" s="40"/>
      <c r="AD776" s="40"/>
    </row>
    <row r="777" spans="16:30">
      <c r="P777" s="96"/>
      <c r="Q777" s="96"/>
      <c r="R777" s="96"/>
      <c r="S777" s="96"/>
      <c r="T777" s="146" t="s">
        <v>5227</v>
      </c>
      <c r="U777" s="146" t="s">
        <v>3834</v>
      </c>
      <c r="AA777"/>
      <c r="AB777"/>
      <c r="AC777" s="40"/>
      <c r="AD777" s="40"/>
    </row>
    <row r="778" spans="16:30">
      <c r="P778" s="96"/>
      <c r="Q778" s="96"/>
      <c r="R778" s="96"/>
      <c r="S778" s="96"/>
      <c r="T778" s="146" t="s">
        <v>5228</v>
      </c>
      <c r="U778" s="146" t="s">
        <v>3711</v>
      </c>
      <c r="AA778"/>
      <c r="AB778"/>
      <c r="AC778" s="40"/>
      <c r="AD778" s="40"/>
    </row>
    <row r="779" spans="16:30">
      <c r="P779" s="96"/>
      <c r="Q779" s="96"/>
      <c r="R779" s="96"/>
      <c r="S779" s="96"/>
      <c r="T779" s="146" t="s">
        <v>5229</v>
      </c>
      <c r="U779" s="146" t="s">
        <v>135</v>
      </c>
      <c r="AA779"/>
      <c r="AB779"/>
      <c r="AC779" s="40"/>
      <c r="AD779" s="40"/>
    </row>
    <row r="780" spans="16:30">
      <c r="P780" s="96"/>
      <c r="Q780" s="96"/>
      <c r="R780" s="96"/>
      <c r="S780" s="96"/>
      <c r="T780" s="146" t="s">
        <v>186</v>
      </c>
      <c r="U780" s="146" t="s">
        <v>140</v>
      </c>
      <c r="AA780"/>
      <c r="AB780"/>
      <c r="AC780" s="40"/>
      <c r="AD780" s="40"/>
    </row>
    <row r="781" spans="16:30">
      <c r="P781" s="96"/>
      <c r="Q781" s="96"/>
      <c r="R781" s="96"/>
      <c r="S781" s="96"/>
      <c r="T781" s="146" t="s">
        <v>2220</v>
      </c>
      <c r="U781" s="146" t="s">
        <v>173</v>
      </c>
      <c r="AA781"/>
      <c r="AB781"/>
      <c r="AC781" s="40"/>
      <c r="AD781" s="40"/>
    </row>
    <row r="782" spans="16:30">
      <c r="P782" s="96"/>
      <c r="Q782" s="96"/>
      <c r="R782" s="96"/>
      <c r="S782" s="96"/>
      <c r="T782" s="146" t="s">
        <v>5230</v>
      </c>
      <c r="U782" s="146" t="s">
        <v>3874</v>
      </c>
      <c r="AA782"/>
      <c r="AB782"/>
      <c r="AC782" s="40"/>
      <c r="AD782" s="40"/>
    </row>
    <row r="783" spans="16:30">
      <c r="P783" s="96"/>
      <c r="Q783" s="96"/>
      <c r="R783" s="96"/>
      <c r="S783" s="96"/>
      <c r="T783" s="146" t="s">
        <v>5231</v>
      </c>
      <c r="U783" s="146" t="s">
        <v>142</v>
      </c>
      <c r="AA783"/>
      <c r="AB783"/>
      <c r="AC783" s="40"/>
      <c r="AD783" s="40"/>
    </row>
    <row r="784" spans="16:30">
      <c r="P784" s="96"/>
      <c r="Q784" s="96"/>
      <c r="R784" s="96"/>
      <c r="S784" s="96"/>
      <c r="T784" s="146" t="s">
        <v>5232</v>
      </c>
      <c r="U784" s="146" t="s">
        <v>4241</v>
      </c>
      <c r="AA784"/>
      <c r="AB784"/>
      <c r="AC784" s="40"/>
      <c r="AD784" s="40"/>
    </row>
    <row r="785" spans="16:30">
      <c r="P785" s="96"/>
      <c r="Q785" s="96"/>
      <c r="R785" s="96"/>
      <c r="S785" s="96"/>
      <c r="T785" s="146" t="s">
        <v>5233</v>
      </c>
      <c r="U785" s="146" t="s">
        <v>4378</v>
      </c>
      <c r="AA785"/>
      <c r="AB785"/>
      <c r="AC785" s="40"/>
      <c r="AD785" s="40"/>
    </row>
    <row r="786" spans="16:30">
      <c r="P786" s="96"/>
      <c r="Q786" s="96"/>
      <c r="R786" s="96"/>
      <c r="S786" s="96"/>
      <c r="T786" s="146" t="s">
        <v>5234</v>
      </c>
      <c r="U786" s="146" t="s">
        <v>3869</v>
      </c>
      <c r="AA786"/>
      <c r="AB786"/>
      <c r="AC786" s="40"/>
      <c r="AD786" s="40"/>
    </row>
    <row r="787" spans="16:30">
      <c r="P787" s="96"/>
      <c r="Q787" s="96"/>
      <c r="R787" s="96"/>
      <c r="S787" s="96"/>
      <c r="T787" s="146" t="s">
        <v>5235</v>
      </c>
      <c r="U787" s="146" t="s">
        <v>4070</v>
      </c>
      <c r="AA787"/>
      <c r="AB787"/>
      <c r="AC787" s="40"/>
      <c r="AD787" s="40"/>
    </row>
    <row r="788" spans="16:30">
      <c r="P788" s="96"/>
      <c r="Q788" s="96"/>
      <c r="R788" s="96"/>
      <c r="S788" s="96"/>
      <c r="T788" s="146" t="s">
        <v>5236</v>
      </c>
      <c r="U788" s="146" t="s">
        <v>4018</v>
      </c>
      <c r="AA788"/>
      <c r="AB788"/>
      <c r="AC788" s="40"/>
      <c r="AD788" s="40"/>
    </row>
    <row r="789" spans="16:30">
      <c r="P789" s="96"/>
      <c r="Q789" s="96"/>
      <c r="R789" s="96"/>
      <c r="S789" s="96"/>
      <c r="T789" s="146" t="s">
        <v>5237</v>
      </c>
      <c r="U789" s="146" t="s">
        <v>3914</v>
      </c>
      <c r="AA789"/>
      <c r="AB789"/>
      <c r="AC789" s="40"/>
      <c r="AD789" s="40"/>
    </row>
    <row r="790" spans="16:30">
      <c r="P790" s="96"/>
      <c r="Q790" s="96"/>
      <c r="R790" s="96"/>
      <c r="S790" s="96"/>
      <c r="T790" s="146" t="s">
        <v>5238</v>
      </c>
      <c r="U790" s="146" t="s">
        <v>3746</v>
      </c>
      <c r="AA790"/>
      <c r="AB790"/>
      <c r="AC790" s="40"/>
      <c r="AD790" s="40"/>
    </row>
    <row r="791" spans="16:30">
      <c r="P791" s="96"/>
      <c r="Q791" s="96"/>
      <c r="R791" s="96"/>
      <c r="S791" s="96"/>
      <c r="T791" s="146" t="s">
        <v>5239</v>
      </c>
      <c r="U791" s="146" t="s">
        <v>133</v>
      </c>
      <c r="AA791"/>
      <c r="AB791"/>
      <c r="AC791" s="40"/>
      <c r="AD791" s="40"/>
    </row>
    <row r="792" spans="16:30">
      <c r="P792" s="96"/>
      <c r="Q792" s="96"/>
      <c r="R792" s="96"/>
      <c r="S792" s="96"/>
      <c r="T792" s="146" t="s">
        <v>5240</v>
      </c>
      <c r="U792" s="146" t="s">
        <v>4338</v>
      </c>
      <c r="AA792"/>
      <c r="AB792"/>
      <c r="AC792" s="40"/>
      <c r="AD792" s="40"/>
    </row>
    <row r="793" spans="16:30">
      <c r="P793" s="96"/>
      <c r="Q793" s="96"/>
      <c r="R793" s="96"/>
      <c r="S793" s="96"/>
      <c r="T793" s="146" t="s">
        <v>5241</v>
      </c>
      <c r="U793" s="146" t="s">
        <v>131</v>
      </c>
      <c r="AA793"/>
      <c r="AB793"/>
      <c r="AC793" s="40"/>
      <c r="AD793" s="40"/>
    </row>
    <row r="794" spans="16:30">
      <c r="P794" s="96"/>
      <c r="Q794" s="96"/>
      <c r="R794" s="96"/>
      <c r="S794" s="96"/>
      <c r="T794" s="146" t="s">
        <v>5242</v>
      </c>
      <c r="U794" s="146" t="s">
        <v>135</v>
      </c>
      <c r="AA794"/>
      <c r="AB794"/>
      <c r="AC794" s="40"/>
      <c r="AD794" s="40"/>
    </row>
    <row r="795" spans="16:30">
      <c r="P795" s="96"/>
      <c r="Q795" s="96"/>
      <c r="R795" s="96"/>
      <c r="S795" s="96"/>
      <c r="T795" s="146"/>
      <c r="U795" s="146"/>
      <c r="AA795"/>
      <c r="AB795"/>
      <c r="AC795" s="40"/>
      <c r="AD795" s="40"/>
    </row>
    <row r="796" spans="16:30">
      <c r="P796" s="96"/>
      <c r="Q796" s="96"/>
      <c r="R796" s="96"/>
      <c r="S796" s="96"/>
      <c r="T796" s="146"/>
      <c r="U796" s="146"/>
      <c r="AA796"/>
      <c r="AB796"/>
      <c r="AC796" s="40"/>
      <c r="AD796" s="40"/>
    </row>
    <row r="797" spans="16:30">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zoomScaleNormal="100" workbookViewId="0">
      <selection activeCell="A66" sqref="A66:L66"/>
    </sheetView>
  </sheetViews>
  <sheetFormatPr defaultColWidth="9.28515625" defaultRowHeight="12"/>
  <cols>
    <col min="1" max="1" width="4.28515625" style="93" customWidth="1"/>
    <col min="2" max="17" width="8.28515625" style="93" customWidth="1"/>
    <col min="18" max="18" width="3.28515625" style="93" customWidth="1"/>
    <col min="19" max="19" width="13.42578125" style="93" customWidth="1"/>
    <col min="20" max="20" width="98.7109375" style="93" customWidth="1"/>
    <col min="21" max="24" width="9.28515625" style="93"/>
    <col min="25" max="25" width="16.42578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354</v>
      </c>
      <c r="F1" s="1314"/>
      <c r="G1" s="4326"/>
      <c r="H1" s="4326" t="s">
        <v>355</v>
      </c>
      <c r="I1" s="4326" t="s">
        <v>356</v>
      </c>
      <c r="J1" s="4326"/>
      <c r="K1" s="4326" t="s">
        <v>357</v>
      </c>
      <c r="L1" s="4326" t="s">
        <v>358</v>
      </c>
      <c r="M1" s="1315" t="s">
        <v>359</v>
      </c>
      <c r="N1" s="1315" t="s">
        <v>360</v>
      </c>
      <c r="P1" s="1315" t="s">
        <v>361</v>
      </c>
      <c r="Y1" s="2076"/>
      <c r="Z1" s="1281">
        <v>1</v>
      </c>
    </row>
    <row r="2" spans="1:52" s="135" customFormat="1" ht="14.25" customHeight="1">
      <c r="A2" s="4292" t="str">
        <f>CONCATENATE("PART TWO - SOURCES OF FUNDS (Proposed)","  -  ",'Part I-Project Identification'!$O$7," ",'Part I-Project Identification'!$F$26,", ",'Part I-Project Identification'!$F$27,", ",'Part I-Project Identification'!$J$27," County")</f>
        <v>PART TWO - SOURCES OF FUNDS (Proposed)  -  2024-0 Abbington Blue Ridge, Blue Ridge, Fannin County</v>
      </c>
      <c r="B2" s="4293"/>
      <c r="C2" s="4293"/>
      <c r="D2" s="4293"/>
      <c r="E2" s="4293"/>
      <c r="F2" s="4293"/>
      <c r="G2" s="4293"/>
      <c r="H2" s="4293"/>
      <c r="I2" s="4293"/>
      <c r="J2" s="4293"/>
      <c r="K2" s="4293"/>
      <c r="L2" s="4293"/>
      <c r="M2" s="4293"/>
      <c r="N2" s="4293"/>
      <c r="O2" s="4293"/>
      <c r="P2" s="4293"/>
      <c r="Q2" s="4294"/>
      <c r="S2" s="2856" t="str">
        <f>$A$2</f>
        <v>PART TWO - SOURCES OF FUNDS (Proposed)  -  2024-0 Abbington Blue Ridge, Blue Ridge, Fannin County</v>
      </c>
      <c r="T2" s="2856"/>
      <c r="Y2" s="2077"/>
      <c r="Z2" s="1281">
        <v>2</v>
      </c>
      <c r="AZ2" s="1252"/>
    </row>
    <row r="3" spans="1:52" ht="17.850000000000001" customHeight="1">
      <c r="A3" s="96"/>
      <c r="B3" s="96"/>
      <c r="C3" s="96"/>
      <c r="D3" s="96"/>
      <c r="E3" s="96"/>
      <c r="F3" s="96"/>
      <c r="G3" s="4327"/>
      <c r="H3" s="4327"/>
      <c r="I3" s="4327"/>
      <c r="J3" s="4327"/>
      <c r="K3" s="4327"/>
      <c r="L3" s="4327"/>
      <c r="Y3" s="2077"/>
      <c r="Z3" s="1281">
        <v>3</v>
      </c>
      <c r="AZ3" s="1252"/>
    </row>
    <row r="4" spans="1:52" s="135" customFormat="1" ht="13.5" customHeight="1">
      <c r="A4" s="151" t="s">
        <v>21</v>
      </c>
      <c r="B4" s="151" t="s">
        <v>362</v>
      </c>
      <c r="C4" s="2511"/>
      <c r="D4" s="2511"/>
      <c r="E4" s="2511"/>
      <c r="F4" s="2511"/>
      <c r="G4" s="2511"/>
      <c r="L4" s="2857" t="str">
        <f>'Part I-Project Identification'!$A$6</f>
        <v>2024 May 7</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363</v>
      </c>
      <c r="T5" s="2821"/>
      <c r="Y5" s="2077"/>
      <c r="Z5" s="1281">
        <v>5</v>
      </c>
      <c r="AZ5" s="1252"/>
    </row>
    <row r="6" spans="1:52" s="135" customFormat="1" ht="16.5" customHeight="1">
      <c r="A6" s="269"/>
      <c r="B6" s="903" t="s">
        <v>67</v>
      </c>
      <c r="C6" s="136" t="s">
        <v>364</v>
      </c>
      <c r="D6" s="2511"/>
      <c r="E6" s="903" t="s">
        <v>57</v>
      </c>
      <c r="F6" s="136" t="s">
        <v>365</v>
      </c>
      <c r="G6" s="2511"/>
      <c r="I6" s="2860"/>
      <c r="J6" s="2861"/>
      <c r="L6" s="903" t="s">
        <v>57</v>
      </c>
      <c r="M6" s="136" t="s">
        <v>366</v>
      </c>
      <c r="Q6" s="1202"/>
      <c r="S6" s="2784"/>
      <c r="T6" s="2785"/>
      <c r="Y6" s="2077"/>
      <c r="Z6" s="1281">
        <v>6</v>
      </c>
      <c r="AZ6" s="1252"/>
    </row>
    <row r="7" spans="1:52" s="135" customFormat="1" ht="16.5" customHeight="1">
      <c r="A7" s="269"/>
      <c r="B7" s="2518" t="s">
        <v>57</v>
      </c>
      <c r="C7" s="136" t="s">
        <v>367</v>
      </c>
      <c r="D7" s="2511"/>
      <c r="E7" s="2519" t="s">
        <v>57</v>
      </c>
      <c r="F7" s="136" t="s">
        <v>368</v>
      </c>
      <c r="I7" s="2862"/>
      <c r="J7" s="2863"/>
      <c r="L7" s="2518" t="s">
        <v>57</v>
      </c>
      <c r="M7" s="136" t="s">
        <v>369</v>
      </c>
      <c r="P7" s="1202"/>
      <c r="Q7" s="1202"/>
      <c r="S7" s="2776"/>
      <c r="T7" s="2777"/>
      <c r="Y7" s="2077"/>
      <c r="Z7" s="1281">
        <v>7</v>
      </c>
      <c r="AZ7" s="1252"/>
    </row>
    <row r="8" spans="1:52" s="135" customFormat="1" ht="16.5" customHeight="1">
      <c r="A8" s="2511"/>
      <c r="B8" s="2518" t="s">
        <v>57</v>
      </c>
      <c r="C8" s="136" t="s">
        <v>370</v>
      </c>
      <c r="F8" s="135" t="s">
        <v>371</v>
      </c>
      <c r="H8" s="2864" t="s">
        <v>372</v>
      </c>
      <c r="I8" s="2865"/>
      <c r="J8" s="2866"/>
      <c r="L8" s="2518" t="s">
        <v>57</v>
      </c>
      <c r="M8" s="136" t="s">
        <v>373</v>
      </c>
      <c r="P8" s="1202"/>
      <c r="Q8" s="1202"/>
      <c r="S8" s="2776"/>
      <c r="T8" s="2777"/>
      <c r="Y8" s="2077"/>
      <c r="Z8" s="1281">
        <v>8</v>
      </c>
      <c r="AZ8" s="1252"/>
    </row>
    <row r="9" spans="1:52" s="135" customFormat="1" ht="16.5" customHeight="1">
      <c r="A9" s="269"/>
      <c r="B9" s="2518" t="s">
        <v>57</v>
      </c>
      <c r="C9" s="135" t="s">
        <v>374</v>
      </c>
      <c r="E9" s="906" t="s">
        <v>57</v>
      </c>
      <c r="F9" s="2867" t="s">
        <v>375</v>
      </c>
      <c r="G9" s="2867"/>
      <c r="H9" s="2847"/>
      <c r="I9" s="2847"/>
      <c r="J9" s="2848"/>
      <c r="L9" s="2518" t="s">
        <v>57</v>
      </c>
      <c r="M9" s="136" t="s">
        <v>376</v>
      </c>
      <c r="Q9" s="1202"/>
      <c r="S9" s="2778"/>
      <c r="T9" s="2779"/>
      <c r="Y9" s="2077"/>
      <c r="Z9" s="1281">
        <v>9</v>
      </c>
      <c r="AZ9" s="1252"/>
    </row>
    <row r="10" spans="1:52" s="135" customFormat="1" ht="16.5" customHeight="1">
      <c r="A10" s="269"/>
      <c r="B10" s="2518" t="s">
        <v>57</v>
      </c>
      <c r="C10" s="136" t="s">
        <v>377</v>
      </c>
      <c r="F10" s="2844" t="s">
        <v>378</v>
      </c>
      <c r="G10" s="2845"/>
      <c r="H10" s="2845"/>
      <c r="I10" s="2845"/>
      <c r="J10" s="2846"/>
      <c r="L10" s="2518" t="s">
        <v>57</v>
      </c>
      <c r="M10" s="136" t="s">
        <v>379</v>
      </c>
      <c r="P10" s="1202"/>
      <c r="Q10" s="1202"/>
      <c r="S10" s="2784"/>
      <c r="T10" s="2785"/>
      <c r="Y10" s="2077"/>
      <c r="Z10" s="1281">
        <v>10</v>
      </c>
      <c r="AZ10" s="1252"/>
    </row>
    <row r="11" spans="1:52" s="135" customFormat="1" ht="16.5" customHeight="1">
      <c r="A11" s="269"/>
      <c r="B11" s="2518" t="s">
        <v>57</v>
      </c>
      <c r="C11" s="136" t="s">
        <v>380</v>
      </c>
      <c r="E11" s="906" t="s">
        <v>57</v>
      </c>
      <c r="F11" s="2847" t="s">
        <v>381</v>
      </c>
      <c r="G11" s="2847"/>
      <c r="H11" s="2847"/>
      <c r="I11" s="2847"/>
      <c r="J11" s="2848"/>
      <c r="L11" s="2518" t="s">
        <v>57</v>
      </c>
      <c r="M11" s="135" t="s">
        <v>382</v>
      </c>
      <c r="S11" s="2776"/>
      <c r="T11" s="2777"/>
      <c r="Y11" s="2077"/>
      <c r="Z11" s="1281">
        <v>11</v>
      </c>
      <c r="AZ11" s="1252"/>
    </row>
    <row r="12" spans="1:52" s="135" customFormat="1" ht="16.5" customHeight="1">
      <c r="A12" s="269"/>
      <c r="B12" s="2518" t="s">
        <v>57</v>
      </c>
      <c r="C12" s="136" t="s">
        <v>383</v>
      </c>
      <c r="F12" s="2849" t="s">
        <v>384</v>
      </c>
      <c r="G12" s="2850"/>
      <c r="H12" s="2851"/>
      <c r="I12" s="2851"/>
      <c r="J12" s="2852"/>
      <c r="L12" s="2518" t="s">
        <v>57</v>
      </c>
      <c r="M12" s="135" t="s">
        <v>385</v>
      </c>
      <c r="S12" s="2776"/>
      <c r="T12" s="2777"/>
      <c r="Y12" s="2077"/>
      <c r="Z12" s="1281">
        <v>12</v>
      </c>
      <c r="AZ12" s="1252"/>
    </row>
    <row r="13" spans="1:52" s="135" customFormat="1" ht="16.5" customHeight="1">
      <c r="A13" s="269"/>
      <c r="B13" s="2518" t="s">
        <v>57</v>
      </c>
      <c r="C13" s="136" t="s">
        <v>386</v>
      </c>
      <c r="E13" s="903" t="s">
        <v>57</v>
      </c>
      <c r="F13" s="136" t="s">
        <v>387</v>
      </c>
      <c r="H13" s="2849" t="s">
        <v>388</v>
      </c>
      <c r="I13" s="2850"/>
      <c r="J13" s="2853"/>
      <c r="L13" s="2518" t="s">
        <v>57</v>
      </c>
      <c r="M13" s="135" t="s">
        <v>389</v>
      </c>
      <c r="S13" s="2776"/>
      <c r="T13" s="2777"/>
      <c r="Y13" s="2077"/>
      <c r="Z13" s="1281">
        <v>13</v>
      </c>
      <c r="AZ13" s="1252"/>
    </row>
    <row r="14" spans="1:52" s="135" customFormat="1" ht="16.5" customHeight="1">
      <c r="A14" s="269"/>
      <c r="B14" s="2518" t="s">
        <v>57</v>
      </c>
      <c r="C14" s="135" t="s">
        <v>390</v>
      </c>
      <c r="E14" s="2518" t="s">
        <v>57</v>
      </c>
      <c r="F14" s="136" t="s">
        <v>391</v>
      </c>
      <c r="L14" s="2518" t="s">
        <v>57</v>
      </c>
      <c r="M14" s="135" t="s">
        <v>392</v>
      </c>
      <c r="S14" s="2778"/>
      <c r="T14" s="2779"/>
      <c r="Y14" s="2077"/>
      <c r="Z14" s="1281">
        <v>14</v>
      </c>
      <c r="AZ14" s="1252"/>
    </row>
    <row r="15" spans="1:52" s="135" customFormat="1" ht="16.5" customHeight="1">
      <c r="A15" s="269"/>
      <c r="B15" s="2518" t="s">
        <v>57</v>
      </c>
      <c r="C15" s="135" t="s">
        <v>393</v>
      </c>
      <c r="E15" s="2518" t="s">
        <v>57</v>
      </c>
      <c r="F15" s="136" t="s">
        <v>394</v>
      </c>
      <c r="L15" s="2518" t="s">
        <v>57</v>
      </c>
      <c r="M15" s="1203" t="s">
        <v>395</v>
      </c>
      <c r="Y15" s="2077"/>
      <c r="Z15" s="1281">
        <v>15</v>
      </c>
      <c r="AZ15" s="1252"/>
    </row>
    <row r="16" spans="1:52" s="135" customFormat="1" ht="16.5" customHeight="1">
      <c r="A16" s="269"/>
      <c r="B16" s="2519" t="s">
        <v>57</v>
      </c>
      <c r="C16" s="136" t="s">
        <v>396</v>
      </c>
      <c r="E16" s="2519" t="s">
        <v>57</v>
      </c>
      <c r="F16" s="136" t="s">
        <v>397</v>
      </c>
      <c r="I16" s="2854"/>
      <c r="J16" s="2855"/>
      <c r="L16" s="2519" t="s">
        <v>57</v>
      </c>
      <c r="M16" s="1203" t="s">
        <v>398</v>
      </c>
      <c r="Y16" s="2077"/>
      <c r="Z16" s="1281">
        <v>16</v>
      </c>
      <c r="AZ16" s="1252"/>
    </row>
    <row r="17" spans="1:52" s="135" customFormat="1" ht="17.25" customHeight="1">
      <c r="A17" s="269"/>
      <c r="B17" s="135" t="s">
        <v>399</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400</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25" customHeight="1">
      <c r="A21" s="2511"/>
      <c r="B21" s="2517" t="s">
        <v>401</v>
      </c>
      <c r="C21" s="2511"/>
      <c r="D21" s="2511"/>
      <c r="E21" s="2511"/>
      <c r="F21" s="2511"/>
      <c r="G21" s="2511"/>
      <c r="H21" s="2835" t="s">
        <v>402</v>
      </c>
      <c r="I21" s="2835"/>
      <c r="J21" s="2835"/>
      <c r="K21" s="2835"/>
      <c r="L21" s="2820" t="s">
        <v>403</v>
      </c>
      <c r="M21" s="2820"/>
      <c r="N21" s="2820" t="s">
        <v>404</v>
      </c>
      <c r="O21" s="2820"/>
      <c r="P21" s="2820" t="s">
        <v>405</v>
      </c>
      <c r="Q21" s="2820"/>
      <c r="S21" s="2821" t="s">
        <v>363</v>
      </c>
      <c r="T21" s="2821"/>
      <c r="Y21" s="2077"/>
      <c r="Z21" s="1281">
        <v>21</v>
      </c>
      <c r="AZ21" s="1252" t="s">
        <v>406</v>
      </c>
    </row>
    <row r="22" spans="1:52" s="135" customFormat="1" ht="15.75" customHeight="1">
      <c r="A22" s="2511"/>
      <c r="B22" s="2781" t="s">
        <v>407</v>
      </c>
      <c r="C22" s="4328"/>
      <c r="D22" s="4328"/>
      <c r="E22" s="4329"/>
      <c r="F22" s="4329"/>
      <c r="G22" s="4329"/>
      <c r="H22" s="4330" t="s">
        <v>408</v>
      </c>
      <c r="I22" s="4331"/>
      <c r="J22" s="4331"/>
      <c r="K22" s="4332"/>
      <c r="L22" s="4333">
        <v>12000000</v>
      </c>
      <c r="M22" s="4334"/>
      <c r="N22" s="4335">
        <v>8.5000000000000006E-2</v>
      </c>
      <c r="O22" s="4336"/>
      <c r="P22" s="4337">
        <v>24</v>
      </c>
      <c r="Q22" s="4338"/>
      <c r="S22" s="2784"/>
      <c r="T22" s="2785"/>
      <c r="Y22" s="2077" t="s">
        <v>406</v>
      </c>
      <c r="Z22" s="1281">
        <v>22</v>
      </c>
      <c r="AZ22" s="1252" t="s">
        <v>409</v>
      </c>
    </row>
    <row r="23" spans="1:52" s="135" customFormat="1" ht="15.75" customHeight="1">
      <c r="A23" s="2511"/>
      <c r="B23" s="2786" t="s">
        <v>410</v>
      </c>
      <c r="C23" s="2787"/>
      <c r="D23" s="2787"/>
      <c r="E23" s="2511"/>
      <c r="F23" s="2511"/>
      <c r="G23" s="2511"/>
      <c r="H23" s="2760"/>
      <c r="I23" s="2761"/>
      <c r="J23" s="2761"/>
      <c r="K23" s="2762"/>
      <c r="L23" s="2824"/>
      <c r="M23" s="2825"/>
      <c r="N23" s="2833"/>
      <c r="O23" s="2834"/>
      <c r="P23" s="2836"/>
      <c r="Q23" s="2837"/>
      <c r="S23" s="2776"/>
      <c r="T23" s="2777"/>
      <c r="Y23" s="2077" t="s">
        <v>409</v>
      </c>
      <c r="Z23" s="1281">
        <v>23</v>
      </c>
      <c r="AZ23" s="1252" t="s">
        <v>411</v>
      </c>
    </row>
    <row r="24" spans="1:52" s="135" customFormat="1" ht="15.75" customHeight="1">
      <c r="A24" s="2511"/>
      <c r="B24" s="2838" t="s">
        <v>412</v>
      </c>
      <c r="C24" s="2839"/>
      <c r="D24" s="2839"/>
      <c r="E24" s="2516"/>
      <c r="F24" s="2516"/>
      <c r="G24" s="2516"/>
      <c r="H24" s="2768"/>
      <c r="I24" s="2769"/>
      <c r="J24" s="2769"/>
      <c r="K24" s="2770"/>
      <c r="L24" s="2822"/>
      <c r="M24" s="2823"/>
      <c r="N24" s="2840"/>
      <c r="O24" s="2841"/>
      <c r="P24" s="2842"/>
      <c r="Q24" s="2843"/>
      <c r="S24" s="2776"/>
      <c r="T24" s="2777"/>
      <c r="Y24" s="2077" t="s">
        <v>411</v>
      </c>
      <c r="Z24" s="1281">
        <v>24</v>
      </c>
      <c r="AZ24" s="1252" t="s">
        <v>413</v>
      </c>
    </row>
    <row r="25" spans="1:52" s="135" customFormat="1" ht="15.75" customHeight="1">
      <c r="A25" s="2511"/>
      <c r="B25" s="2781" t="s">
        <v>414</v>
      </c>
      <c r="C25" s="4328"/>
      <c r="D25" s="4328"/>
      <c r="E25" s="2511"/>
      <c r="F25" s="2511"/>
      <c r="G25" s="2511"/>
      <c r="H25" s="2828"/>
      <c r="I25" s="2829"/>
      <c r="J25" s="2829"/>
      <c r="K25" s="2830"/>
      <c r="L25" s="2831"/>
      <c r="M25" s="2832"/>
      <c r="N25" s="2826"/>
      <c r="O25" s="2827"/>
      <c r="P25" s="2816"/>
      <c r="Q25" s="2816"/>
      <c r="S25" s="2776"/>
      <c r="T25" s="2777"/>
      <c r="Y25" s="2077" t="s">
        <v>413</v>
      </c>
      <c r="Z25" s="1281">
        <v>25</v>
      </c>
      <c r="AZ25" s="1252" t="s">
        <v>415</v>
      </c>
    </row>
    <row r="26" spans="1:52" s="135" customFormat="1" ht="15.75" customHeight="1">
      <c r="A26" s="2511"/>
      <c r="B26" s="2786" t="s">
        <v>416</v>
      </c>
      <c r="C26" s="2787"/>
      <c r="D26" s="2787"/>
      <c r="E26" s="2511"/>
      <c r="H26" s="2760"/>
      <c r="I26" s="2761"/>
      <c r="J26" s="2761"/>
      <c r="K26" s="2762"/>
      <c r="L26" s="2824"/>
      <c r="M26" s="2825"/>
      <c r="N26" s="2826"/>
      <c r="O26" s="2827"/>
      <c r="P26" s="2816"/>
      <c r="Q26" s="2816"/>
      <c r="S26" s="2776"/>
      <c r="T26" s="2777"/>
      <c r="Y26" s="2077" t="s">
        <v>415</v>
      </c>
      <c r="Z26" s="1281">
        <v>26</v>
      </c>
      <c r="AZ26" s="1252" t="s">
        <v>417</v>
      </c>
    </row>
    <row r="27" spans="1:52" s="135" customFormat="1" ht="15.75" customHeight="1">
      <c r="A27" s="2511"/>
      <c r="B27" s="2786" t="s">
        <v>418</v>
      </c>
      <c r="C27" s="2787"/>
      <c r="D27" s="2787"/>
      <c r="E27" s="2511"/>
      <c r="H27" s="2760"/>
      <c r="I27" s="2761"/>
      <c r="J27" s="2761"/>
      <c r="K27" s="2762"/>
      <c r="L27" s="2824"/>
      <c r="M27" s="2825"/>
      <c r="N27" s="2826"/>
      <c r="O27" s="2827"/>
      <c r="P27" s="2816"/>
      <c r="Q27" s="2816"/>
      <c r="S27" s="2776"/>
      <c r="T27" s="2777"/>
      <c r="Y27" s="2077" t="s">
        <v>417</v>
      </c>
      <c r="Z27" s="1281">
        <v>27</v>
      </c>
      <c r="AZ27" s="1252" t="s">
        <v>419</v>
      </c>
    </row>
    <row r="28" spans="1:52" s="135" customFormat="1" ht="15.75" customHeight="1">
      <c r="A28" s="2511"/>
      <c r="B28" s="2786" t="s">
        <v>420</v>
      </c>
      <c r="C28" s="2787"/>
      <c r="D28" s="2787"/>
      <c r="E28" s="2511"/>
      <c r="H28" s="2760" t="s">
        <v>408</v>
      </c>
      <c r="I28" s="2761"/>
      <c r="J28" s="2761"/>
      <c r="K28" s="2762"/>
      <c r="L28" s="2824">
        <f>2136808+3716189</f>
        <v>5852997</v>
      </c>
      <c r="M28" s="2825"/>
      <c r="N28" s="2511"/>
      <c r="Q28" s="2511"/>
      <c r="S28" s="2778"/>
      <c r="T28" s="2779"/>
      <c r="Y28" s="2077" t="s">
        <v>419</v>
      </c>
      <c r="Z28" s="1281">
        <v>28</v>
      </c>
      <c r="AZ28" s="1252" t="s">
        <v>421</v>
      </c>
    </row>
    <row r="29" spans="1:52" s="135" customFormat="1" ht="15.75" customHeight="1">
      <c r="A29" s="2511"/>
      <c r="B29" s="2786" t="s">
        <v>422</v>
      </c>
      <c r="C29" s="2787"/>
      <c r="D29" s="2787"/>
      <c r="E29" s="2511"/>
      <c r="H29" s="2760" t="s">
        <v>408</v>
      </c>
      <c r="I29" s="2761"/>
      <c r="J29" s="2761"/>
      <c r="K29" s="2762"/>
      <c r="L29" s="2824">
        <f>1335773+2323084</f>
        <v>3658857</v>
      </c>
      <c r="M29" s="2825"/>
      <c r="N29" s="2511"/>
      <c r="Q29" s="2511"/>
      <c r="S29" s="2784"/>
      <c r="T29" s="2785"/>
      <c r="Y29" s="2077" t="s">
        <v>421</v>
      </c>
      <c r="Z29" s="1281">
        <v>29</v>
      </c>
      <c r="AZ29" s="1252" t="s">
        <v>423</v>
      </c>
    </row>
    <row r="30" spans="1:52" s="135" customFormat="1" ht="15.75" customHeight="1">
      <c r="A30" s="2511"/>
      <c r="B30" s="2510" t="s">
        <v>424</v>
      </c>
      <c r="C30" s="2511"/>
      <c r="D30" s="4339"/>
      <c r="E30" s="4339"/>
      <c r="F30" s="4339"/>
      <c r="G30" s="4339"/>
      <c r="H30" s="2760"/>
      <c r="I30" s="2761"/>
      <c r="J30" s="2761"/>
      <c r="K30" s="2762"/>
      <c r="L30" s="2824"/>
      <c r="M30" s="2825"/>
      <c r="N30" s="2511"/>
      <c r="Q30" s="2511"/>
      <c r="S30" s="2776"/>
      <c r="T30" s="2777"/>
      <c r="Y30" s="2077" t="s">
        <v>423</v>
      </c>
      <c r="Z30" s="1281">
        <v>30</v>
      </c>
      <c r="AZ30" s="1252" t="s">
        <v>425</v>
      </c>
    </row>
    <row r="31" spans="1:52" s="135" customFormat="1" ht="15.75" customHeight="1">
      <c r="A31" s="2511"/>
      <c r="B31" s="2510" t="s">
        <v>424</v>
      </c>
      <c r="C31" s="2511"/>
      <c r="D31" s="2780"/>
      <c r="E31" s="2780"/>
      <c r="F31" s="2780"/>
      <c r="G31" s="2780"/>
      <c r="H31" s="2760"/>
      <c r="I31" s="2761"/>
      <c r="J31" s="2761"/>
      <c r="K31" s="2762"/>
      <c r="L31" s="2824"/>
      <c r="M31" s="2825"/>
      <c r="N31" s="2511"/>
      <c r="S31" s="2776"/>
      <c r="T31" s="2777"/>
      <c r="Y31" s="2077" t="s">
        <v>425</v>
      </c>
      <c r="Z31" s="1281">
        <v>31</v>
      </c>
      <c r="AZ31" s="1252" t="s">
        <v>426</v>
      </c>
    </row>
    <row r="32" spans="1:52" s="135" customFormat="1" ht="15.75" customHeight="1">
      <c r="A32" s="2511"/>
      <c r="B32" s="2515" t="s">
        <v>424</v>
      </c>
      <c r="C32" s="2516"/>
      <c r="D32" s="2767"/>
      <c r="E32" s="2767"/>
      <c r="F32" s="2767"/>
      <c r="G32" s="2767"/>
      <c r="H32" s="2768"/>
      <c r="I32" s="2769"/>
      <c r="J32" s="2769"/>
      <c r="K32" s="2770"/>
      <c r="L32" s="2822"/>
      <c r="M32" s="2823"/>
      <c r="N32" s="2511"/>
      <c r="S32" s="2776"/>
      <c r="T32" s="2777"/>
      <c r="Y32" s="2077" t="s">
        <v>426</v>
      </c>
      <c r="Z32" s="1281">
        <v>32</v>
      </c>
      <c r="AZ32" s="1252"/>
    </row>
    <row r="33" spans="1:52" s="135" customFormat="1" ht="16.5" customHeight="1">
      <c r="A33" s="2511"/>
      <c r="B33" s="134" t="s">
        <v>427</v>
      </c>
      <c r="C33" s="2511"/>
      <c r="D33" s="2511"/>
      <c r="E33" s="2511"/>
      <c r="F33" s="2511"/>
      <c r="G33" s="2511"/>
      <c r="H33" s="2511"/>
      <c r="I33" s="2511"/>
      <c r="L33" s="4340">
        <f>SUM(L22:L32)</f>
        <v>21511854</v>
      </c>
      <c r="M33" s="4341"/>
      <c r="N33" s="96"/>
      <c r="S33" s="2776"/>
      <c r="T33" s="2777"/>
      <c r="Y33" s="2077"/>
      <c r="Z33" s="1281">
        <v>33</v>
      </c>
      <c r="AZ33" s="1252"/>
    </row>
    <row r="34" spans="1:52" s="135" customFormat="1" ht="16.5" customHeight="1">
      <c r="A34" s="2511"/>
      <c r="B34" s="2517" t="s">
        <v>428</v>
      </c>
      <c r="C34" s="2511"/>
      <c r="D34" s="2511"/>
      <c r="E34" s="2511"/>
      <c r="F34" s="2511"/>
      <c r="G34" s="2511"/>
      <c r="H34" s="2511"/>
      <c r="I34" s="2511"/>
      <c r="L34" s="4342">
        <f>'Part III-A-Uses of Funds'!$G$146-'Part III-A-Uses of Funds'!$G$103-'Part III-A-Uses of Funds'!$G$109-'Part III-A-Uses of Funds'!$G$130-'Part III-A-Uses of Funds'!$G$131-'Part III-A-Uses of Funds'!$G$132-'Part III-A-Uses of Funds'!$G$127+'Part III-A-Uses of Funds'!$F$123</f>
        <v>16461066</v>
      </c>
      <c r="M34" s="4343"/>
      <c r="N34" s="497"/>
      <c r="S34" s="2776"/>
      <c r="T34" s="2777"/>
      <c r="Y34" s="2077"/>
      <c r="Z34" s="1281">
        <v>34</v>
      </c>
      <c r="AZ34" s="1252"/>
    </row>
    <row r="35" spans="1:52" s="135" customFormat="1" ht="16.5" customHeight="1">
      <c r="A35" s="2511"/>
      <c r="B35" s="2517" t="s">
        <v>429</v>
      </c>
      <c r="C35" s="2511"/>
      <c r="D35" s="2511"/>
      <c r="E35" s="2511"/>
      <c r="F35" s="2511"/>
      <c r="G35" s="2511"/>
      <c r="H35" s="2511"/>
      <c r="I35" s="2511"/>
      <c r="L35" s="4344">
        <f>L33-L34</f>
        <v>5050788</v>
      </c>
      <c r="M35" s="4345"/>
      <c r="N35" s="497"/>
      <c r="S35" s="2778"/>
      <c r="T35" s="2779"/>
      <c r="Y35" s="2077"/>
      <c r="Z35" s="1281">
        <v>35</v>
      </c>
      <c r="AZ35" s="1251"/>
    </row>
    <row r="36" spans="1:52" ht="9.75" customHeight="1">
      <c r="A36" s="159"/>
      <c r="B36" s="134"/>
      <c r="C36" s="96"/>
      <c r="D36" s="96"/>
      <c r="E36" s="96"/>
      <c r="F36" s="96"/>
      <c r="G36" s="96"/>
      <c r="H36" s="96"/>
      <c r="I36" s="96"/>
      <c r="J36" s="96"/>
      <c r="K36" s="96"/>
      <c r="L36" s="96"/>
      <c r="M36" s="2512"/>
      <c r="N36" s="2512"/>
      <c r="Z36" s="1281">
        <v>36</v>
      </c>
    </row>
    <row r="37" spans="1:52" ht="9.75" customHeight="1">
      <c r="A37" s="151" t="s">
        <v>32</v>
      </c>
      <c r="B37" s="134" t="s">
        <v>430</v>
      </c>
      <c r="C37" s="96"/>
      <c r="D37" s="96"/>
      <c r="E37" s="96"/>
      <c r="F37" s="96"/>
      <c r="G37" s="96"/>
      <c r="H37" s="96"/>
      <c r="I37" s="96"/>
      <c r="J37" s="96"/>
      <c r="K37" s="96"/>
      <c r="L37" s="96"/>
      <c r="M37" s="2512"/>
      <c r="N37" s="2512"/>
      <c r="O37" s="96"/>
      <c r="S37" s="163" t="str">
        <f>B37</f>
        <v>PERMANENT FINANCING</v>
      </c>
      <c r="Z37" s="1281">
        <v>37</v>
      </c>
      <c r="AZ37" s="1252"/>
    </row>
    <row r="38" spans="1:52" s="135" customFormat="1" ht="13.5" customHeight="1">
      <c r="A38" s="2511"/>
      <c r="B38" s="2511"/>
      <c r="C38" s="2511"/>
      <c r="D38" s="2511"/>
      <c r="E38" s="2511"/>
      <c r="F38" s="2512"/>
      <c r="G38" s="2512"/>
      <c r="H38" s="2816"/>
      <c r="I38" s="2816"/>
      <c r="K38" s="158" t="s">
        <v>431</v>
      </c>
      <c r="L38" s="2512" t="s">
        <v>432</v>
      </c>
      <c r="M38" s="2512" t="s">
        <v>433</v>
      </c>
      <c r="P38" s="2817" t="s">
        <v>434</v>
      </c>
      <c r="Q38" s="2817"/>
      <c r="S38" s="163"/>
      <c r="Y38" s="2077"/>
      <c r="Z38" s="1281">
        <v>38</v>
      </c>
      <c r="AZ38" s="1252"/>
    </row>
    <row r="39" spans="1:52" s="135" customFormat="1" ht="13.5" customHeight="1">
      <c r="A39" s="2511"/>
      <c r="B39" s="2513" t="s">
        <v>401</v>
      </c>
      <c r="C39" s="2516"/>
      <c r="D39" s="2516"/>
      <c r="E39" s="2819" t="s">
        <v>402</v>
      </c>
      <c r="F39" s="2819"/>
      <c r="G39" s="2819"/>
      <c r="H39" s="2819"/>
      <c r="I39" s="2820" t="s">
        <v>435</v>
      </c>
      <c r="J39" s="2820"/>
      <c r="K39" s="2514" t="s">
        <v>436</v>
      </c>
      <c r="L39" s="2514" t="s">
        <v>437</v>
      </c>
      <c r="M39" s="2514" t="s">
        <v>437</v>
      </c>
      <c r="N39" s="2820" t="s">
        <v>438</v>
      </c>
      <c r="O39" s="2820"/>
      <c r="P39" s="2818"/>
      <c r="Q39" s="2818"/>
      <c r="S39" s="2821" t="s">
        <v>363</v>
      </c>
      <c r="T39" s="2821"/>
      <c r="Y39" s="2077"/>
      <c r="Z39" s="1281">
        <v>39</v>
      </c>
      <c r="AZ39" s="1252" t="s">
        <v>439</v>
      </c>
    </row>
    <row r="40" spans="1:52" s="135" customFormat="1" ht="15" customHeight="1">
      <c r="A40" s="2511"/>
      <c r="B40" s="2781" t="s">
        <v>440</v>
      </c>
      <c r="C40" s="4328"/>
      <c r="D40" s="4328"/>
      <c r="E40" s="4330" t="s">
        <v>408</v>
      </c>
      <c r="F40" s="4331"/>
      <c r="G40" s="4331"/>
      <c r="H40" s="4332"/>
      <c r="I40" s="4346">
        <v>2530000</v>
      </c>
      <c r="J40" s="4347"/>
      <c r="K40" s="4348">
        <v>7.0000000000000007E-2</v>
      </c>
      <c r="L40" s="903">
        <v>40</v>
      </c>
      <c r="M40" s="903">
        <v>40</v>
      </c>
      <c r="N40" s="4349" t="s">
        <v>441</v>
      </c>
      <c r="O40" s="4349"/>
      <c r="P40" s="4350">
        <f>IF(OR(I40&lt;=0,I40=""),"",IF(N40="Cash Flow",0,IF(N40="Amortizing",-PMT(K40/12,M40*12,I40,0,0)*12,"")))</f>
        <v>188666.53650856763</v>
      </c>
      <c r="Q40" s="4350"/>
      <c r="S40" s="2784"/>
      <c r="T40" s="2785"/>
      <c r="Y40" s="2077" t="s">
        <v>439</v>
      </c>
      <c r="Z40" s="1281">
        <v>40</v>
      </c>
      <c r="AZ40" s="1252" t="s">
        <v>442</v>
      </c>
    </row>
    <row r="41" spans="1:52" s="135" customFormat="1" ht="15" customHeight="1">
      <c r="A41" s="2511"/>
      <c r="B41" s="2786" t="s">
        <v>443</v>
      </c>
      <c r="C41" s="2787"/>
      <c r="D41" s="2787"/>
      <c r="E41" s="2760"/>
      <c r="F41" s="2761"/>
      <c r="G41" s="2761"/>
      <c r="H41" s="2762"/>
      <c r="I41" s="2763"/>
      <c r="J41" s="2789"/>
      <c r="K41" s="495"/>
      <c r="L41" s="2518"/>
      <c r="M41" s="2518"/>
      <c r="N41" s="2815"/>
      <c r="O41" s="2815"/>
      <c r="P41" s="2806" t="str">
        <f>IF(OR(I41&lt;=0,I41=""),"",IF(N41="Cash Flow",0,IF(N41="Amortizing",-PMT(K41/12,M41*12,I41,0,0)*12,"")))</f>
        <v/>
      </c>
      <c r="Q41" s="2806"/>
      <c r="S41" s="2776"/>
      <c r="T41" s="2777"/>
      <c r="Y41" s="2077" t="s">
        <v>442</v>
      </c>
      <c r="Z41" s="1281">
        <v>41</v>
      </c>
      <c r="AZ41" s="1252" t="s">
        <v>444</v>
      </c>
    </row>
    <row r="42" spans="1:52" s="135" customFormat="1" ht="15" customHeight="1">
      <c r="A42" s="2511"/>
      <c r="B42" s="2786" t="s">
        <v>445</v>
      </c>
      <c r="C42" s="2787"/>
      <c r="D42" s="2787"/>
      <c r="E42" s="2760"/>
      <c r="F42" s="2761"/>
      <c r="G42" s="2761"/>
      <c r="H42" s="2762"/>
      <c r="I42" s="2763"/>
      <c r="J42" s="2789"/>
      <c r="K42" s="495"/>
      <c r="L42" s="2518"/>
      <c r="M42" s="2518"/>
      <c r="N42" s="2815"/>
      <c r="O42" s="2815"/>
      <c r="P42" s="2806" t="str">
        <f>IF(OR(I42&lt;=0,I42=""),"",IF(N42="Cash Flow",0,IF(N42="Amortizing",-PMT(K42/12,M42*12,I42,0,0)*12,"")))</f>
        <v/>
      </c>
      <c r="Q42" s="2806"/>
      <c r="S42" s="2776"/>
      <c r="T42" s="2777"/>
      <c r="Y42" s="2077" t="s">
        <v>444</v>
      </c>
      <c r="Z42" s="1281">
        <v>42</v>
      </c>
      <c r="AZ42" s="1252" t="s">
        <v>446</v>
      </c>
    </row>
    <row r="43" spans="1:52" s="135" customFormat="1" ht="15" customHeight="1">
      <c r="A43" s="2511"/>
      <c r="B43" s="2510" t="s">
        <v>447</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446</v>
      </c>
      <c r="Z43" s="1281">
        <v>43</v>
      </c>
      <c r="AZ43" s="1252" t="s">
        <v>448</v>
      </c>
    </row>
    <row r="44" spans="1:52" s="135" customFormat="1" ht="15" customHeight="1">
      <c r="A44" s="2511"/>
      <c r="B44" s="2510" t="s">
        <v>449</v>
      </c>
      <c r="C44" s="2511"/>
      <c r="D44" s="2521"/>
      <c r="E44" s="2760"/>
      <c r="F44" s="2761"/>
      <c r="G44" s="2761"/>
      <c r="H44" s="2762"/>
      <c r="I44" s="2763"/>
      <c r="J44" s="2789"/>
      <c r="K44" s="258"/>
      <c r="L44" s="2520"/>
      <c r="M44" s="2520"/>
      <c r="N44" s="2813"/>
      <c r="O44" s="2813"/>
      <c r="P44" s="2814"/>
      <c r="Q44" s="2814"/>
      <c r="S44" s="2776"/>
      <c r="T44" s="2777"/>
      <c r="Y44" s="2077" t="s">
        <v>448</v>
      </c>
      <c r="Z44" s="1281">
        <v>44</v>
      </c>
      <c r="AZ44" s="1252" t="s">
        <v>450</v>
      </c>
    </row>
    <row r="45" spans="1:52" s="135" customFormat="1" ht="15" customHeight="1">
      <c r="A45" s="2511"/>
      <c r="B45" s="2515" t="s">
        <v>451</v>
      </c>
      <c r="C45" s="2516"/>
      <c r="D45" s="4351">
        <f>IF(OR(I45="",I45=0,'Part III-A-Uses of Funds'!$G$127="",'Part III-A-Uses of Funds'!$G$127=0),"",I45/'Part III-A-Uses of Funds'!$G$127)</f>
        <v>0.2128307210031348</v>
      </c>
      <c r="E45" s="2768" t="s">
        <v>452</v>
      </c>
      <c r="F45" s="2769"/>
      <c r="G45" s="2769"/>
      <c r="H45" s="2770"/>
      <c r="I45" s="2794">
        <v>339465</v>
      </c>
      <c r="J45" s="2795"/>
      <c r="K45" s="494">
        <v>0</v>
      </c>
      <c r="L45" s="493">
        <v>13</v>
      </c>
      <c r="M45" s="493"/>
      <c r="N45" s="2689" t="s">
        <v>453</v>
      </c>
      <c r="O45" s="2690"/>
      <c r="P45" s="2796">
        <f>IF(OR(I45&lt;=0,I45=""),"",IF(N45="Cash Flow",0,IF(N45="Amortizing",-PMT(K45/12,M45*12,I45,0,0)*12,"")))</f>
        <v>0</v>
      </c>
      <c r="Q45" s="2797"/>
      <c r="S45" s="2776"/>
      <c r="T45" s="2777"/>
      <c r="Y45" s="2077" t="s">
        <v>450</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454</v>
      </c>
      <c r="C47" s="2511"/>
      <c r="E47" s="135" t="s">
        <v>455</v>
      </c>
      <c r="F47" s="2798">
        <f>IF(OR($I$45="",$I$45=0,'Part VI-Pro Forma'!$S$35=0,'Part VI-Pro Forma'!$S$35=""),"",VLOOKUP($L$45,'Part VI-Pro Forma'!$Q$21:$S$40,3))</f>
        <v>479097.23800686229</v>
      </c>
      <c r="G47" s="2799"/>
      <c r="H47" s="351" t="s">
        <v>456</v>
      </c>
      <c r="I47" s="2798">
        <f>IF(OR($I$45="",$I$45=0,'Part VI-Pro Forma'!$R$35=0,'Part VI-Pro Forma'!$R$35=""),"",VLOOKUP($L$45,'Part VI-Pro Forma'!$Q$21:$S$35,2))</f>
        <v>339465</v>
      </c>
      <c r="J47" s="2799"/>
      <c r="K47" s="351" t="s">
        <v>457</v>
      </c>
      <c r="L47" s="2800">
        <f>IF(OR($F$47 = 0,$F$47 =""),"",$I$47/$F$47)</f>
        <v>0.70855136091420701</v>
      </c>
      <c r="M47" s="2801"/>
      <c r="N47" s="2802" t="s">
        <v>458</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459</v>
      </c>
    </row>
    <row r="49" spans="1:52" s="135" customFormat="1" ht="15" customHeight="1">
      <c r="A49" s="2511"/>
      <c r="B49" s="2781" t="s">
        <v>414</v>
      </c>
      <c r="C49" s="4328"/>
      <c r="D49" s="4352"/>
      <c r="E49" s="4330"/>
      <c r="F49" s="4331"/>
      <c r="G49" s="4331"/>
      <c r="H49" s="4332"/>
      <c r="I49" s="2782"/>
      <c r="J49" s="2783"/>
      <c r="K49" s="2511"/>
      <c r="L49" s="2511"/>
      <c r="M49" s="2511"/>
      <c r="N49" s="2511"/>
      <c r="O49" s="2511"/>
      <c r="P49" s="2512" t="s">
        <v>460</v>
      </c>
      <c r="Q49" s="2511"/>
      <c r="S49" s="2784"/>
      <c r="T49" s="2785"/>
      <c r="Y49" s="2077" t="s">
        <v>459</v>
      </c>
      <c r="Z49" s="1281">
        <v>49</v>
      </c>
      <c r="AZ49" s="1252" t="s">
        <v>461</v>
      </c>
    </row>
    <row r="50" spans="1:52" s="135" customFormat="1" ht="15" customHeight="1">
      <c r="A50" s="2511"/>
      <c r="B50" s="2786" t="s">
        <v>416</v>
      </c>
      <c r="C50" s="2787"/>
      <c r="D50" s="2788"/>
      <c r="E50" s="2760"/>
      <c r="F50" s="2761"/>
      <c r="G50" s="2761"/>
      <c r="H50" s="2762"/>
      <c r="I50" s="2763"/>
      <c r="J50" s="2789"/>
      <c r="L50" s="2790" t="s">
        <v>462</v>
      </c>
      <c r="M50" s="2790"/>
      <c r="N50" s="2791" t="s">
        <v>463</v>
      </c>
      <c r="O50" s="2791"/>
      <c r="P50" s="2522" t="s">
        <v>464</v>
      </c>
      <c r="Q50" s="2511"/>
      <c r="S50" s="2776"/>
      <c r="T50" s="2777"/>
      <c r="Y50" s="2077" t="s">
        <v>461</v>
      </c>
      <c r="Z50" s="1281">
        <v>50</v>
      </c>
      <c r="AZ50" s="1252" t="s">
        <v>465</v>
      </c>
    </row>
    <row r="51" spans="1:52" s="135" customFormat="1" ht="15" customHeight="1">
      <c r="A51" s="2511"/>
      <c r="B51" s="2786" t="s">
        <v>420</v>
      </c>
      <c r="C51" s="2787"/>
      <c r="D51" s="2788"/>
      <c r="E51" s="2760" t="s">
        <v>408</v>
      </c>
      <c r="F51" s="2761"/>
      <c r="G51" s="2761"/>
      <c r="H51" s="2762"/>
      <c r="I51" s="2763">
        <v>9290472</v>
      </c>
      <c r="J51" s="2763"/>
      <c r="L51" s="2792">
        <f>'Part III-A-Uses of Funds'!$J$191*10*'Part III-A-Uses of Funds'!$N$182</f>
        <v>9292336</v>
      </c>
      <c r="M51" s="2792"/>
      <c r="N51" s="2793">
        <f>I51-L51</f>
        <v>-1864</v>
      </c>
      <c r="O51" s="2793"/>
      <c r="P51" s="224">
        <f>I51/I61</f>
        <v>0.51706670328062432</v>
      </c>
      <c r="Q51" s="2511"/>
      <c r="S51" s="2776"/>
      <c r="T51" s="2777"/>
      <c r="Y51" s="2077" t="s">
        <v>465</v>
      </c>
      <c r="Z51" s="1281">
        <v>51</v>
      </c>
      <c r="AZ51" s="1252" t="s">
        <v>466</v>
      </c>
    </row>
    <row r="52" spans="1:52" s="135" customFormat="1" ht="15" customHeight="1">
      <c r="A52" s="2511"/>
      <c r="B52" s="2786" t="s">
        <v>422</v>
      </c>
      <c r="C52" s="2787"/>
      <c r="D52" s="2788"/>
      <c r="E52" s="2760" t="s">
        <v>408</v>
      </c>
      <c r="F52" s="2761"/>
      <c r="G52" s="2761"/>
      <c r="H52" s="2762"/>
      <c r="I52" s="2763">
        <v>5807710</v>
      </c>
      <c r="J52" s="2763"/>
      <c r="L52" s="2792">
        <f>'Part III-A-Uses of Funds'!$J$191*10*'Part III-A-Uses of Funds'!$Q$182</f>
        <v>5807710</v>
      </c>
      <c r="M52" s="2792"/>
      <c r="N52" s="2793">
        <f>I52-L52</f>
        <v>0</v>
      </c>
      <c r="O52" s="2793"/>
      <c r="P52" s="224">
        <f>I52/I61</f>
        <v>0.32323152831308405</v>
      </c>
      <c r="Q52" s="2511"/>
      <c r="S52" s="2776"/>
      <c r="T52" s="2777"/>
      <c r="Y52" s="2077" t="s">
        <v>466</v>
      </c>
      <c r="Z52" s="1281">
        <v>52</v>
      </c>
      <c r="AZ52" s="1252" t="s">
        <v>467</v>
      </c>
    </row>
    <row r="53" spans="1:52" s="135" customFormat="1" ht="15" customHeight="1">
      <c r="A53" s="2511"/>
      <c r="B53" s="2786" t="s">
        <v>468</v>
      </c>
      <c r="C53" s="2787"/>
      <c r="D53" s="2788"/>
      <c r="E53" s="2760"/>
      <c r="F53" s="2761"/>
      <c r="G53" s="2761"/>
      <c r="H53" s="2762"/>
      <c r="I53" s="2763"/>
      <c r="J53" s="2763"/>
      <c r="P53" s="4353">
        <f>SUM(P51:P52)</f>
        <v>0.84029823159370842</v>
      </c>
      <c r="Q53" s="2511"/>
      <c r="S53" s="2778"/>
      <c r="T53" s="2779"/>
      <c r="Y53" s="2077" t="s">
        <v>467</v>
      </c>
      <c r="Z53" s="1281">
        <v>53</v>
      </c>
      <c r="AZ53" s="1252"/>
    </row>
    <row r="54" spans="1:52" s="135" customFormat="1" ht="15" customHeight="1">
      <c r="A54" s="2511"/>
      <c r="B54" s="2510" t="s">
        <v>469</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470</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471</v>
      </c>
      <c r="C56" s="2511"/>
      <c r="D56" s="2521"/>
      <c r="E56" s="2760"/>
      <c r="F56" s="2761"/>
      <c r="G56" s="2761"/>
      <c r="H56" s="2762"/>
      <c r="I56" s="2763"/>
      <c r="J56" s="2763"/>
      <c r="M56" s="203"/>
      <c r="N56" s="203"/>
      <c r="O56" s="203"/>
      <c r="P56" s="203"/>
      <c r="Q56" s="2511"/>
      <c r="S56" s="2776"/>
      <c r="T56" s="2777"/>
      <c r="Y56" s="2077"/>
      <c r="Z56" s="1281">
        <v>56</v>
      </c>
      <c r="AZ56" s="1252" t="s">
        <v>472</v>
      </c>
    </row>
    <row r="57" spans="1:52" s="135" customFormat="1" ht="15" customHeight="1">
      <c r="A57" s="2511"/>
      <c r="B57" s="2510" t="s">
        <v>447</v>
      </c>
      <c r="C57" s="4339"/>
      <c r="D57" s="4339"/>
      <c r="E57" s="2760"/>
      <c r="F57" s="2761"/>
      <c r="G57" s="2761"/>
      <c r="H57" s="2762"/>
      <c r="I57" s="2763"/>
      <c r="J57" s="2763"/>
      <c r="M57" s="203"/>
      <c r="N57" s="203"/>
      <c r="O57" s="203"/>
      <c r="P57" s="203"/>
      <c r="Q57" s="2511"/>
      <c r="S57" s="2776"/>
      <c r="T57" s="2777"/>
      <c r="Y57" s="2077" t="s">
        <v>472</v>
      </c>
      <c r="Z57" s="1281">
        <v>57</v>
      </c>
      <c r="AZ57" s="1252" t="s">
        <v>473</v>
      </c>
    </row>
    <row r="58" spans="1:52" s="135" customFormat="1" ht="15" customHeight="1">
      <c r="A58" s="2511"/>
      <c r="B58" s="2510" t="s">
        <v>447</v>
      </c>
      <c r="C58" s="2780"/>
      <c r="D58" s="2780"/>
      <c r="E58" s="2760"/>
      <c r="F58" s="2761"/>
      <c r="G58" s="2761"/>
      <c r="H58" s="2762"/>
      <c r="I58" s="2763"/>
      <c r="J58" s="2763"/>
      <c r="K58" s="2511"/>
      <c r="L58" s="2512"/>
      <c r="M58" s="203"/>
      <c r="N58" s="203"/>
      <c r="O58" s="203"/>
      <c r="P58" s="203"/>
      <c r="Q58" s="2511"/>
      <c r="S58" s="2776"/>
      <c r="T58" s="2777"/>
      <c r="Y58" s="2077" t="s">
        <v>473</v>
      </c>
      <c r="Z58" s="1281">
        <v>58</v>
      </c>
      <c r="AZ58" s="1252" t="s">
        <v>474</v>
      </c>
    </row>
    <row r="59" spans="1:52" s="135" customFormat="1" ht="15" customHeight="1">
      <c r="A59" s="2511"/>
      <c r="B59" s="2515" t="s">
        <v>447</v>
      </c>
      <c r="C59" s="2767"/>
      <c r="D59" s="2767"/>
      <c r="E59" s="2768"/>
      <c r="F59" s="2769"/>
      <c r="G59" s="2769"/>
      <c r="H59" s="2770"/>
      <c r="I59" s="2771"/>
      <c r="J59" s="2771"/>
      <c r="K59" s="2511"/>
      <c r="L59" s="2512"/>
      <c r="M59" s="203"/>
      <c r="N59" s="203"/>
      <c r="O59" s="203"/>
      <c r="P59" s="203"/>
      <c r="Q59" s="2511"/>
      <c r="S59" s="2776"/>
      <c r="T59" s="2777"/>
      <c r="Y59" s="2077" t="s">
        <v>474</v>
      </c>
      <c r="Z59" s="1281">
        <v>59</v>
      </c>
      <c r="AZ59" s="1252"/>
    </row>
    <row r="60" spans="1:52" s="135" customFormat="1" ht="14.25" customHeight="1">
      <c r="A60" s="2511"/>
      <c r="B60" s="2517" t="s">
        <v>475</v>
      </c>
      <c r="C60" s="2511"/>
      <c r="D60" s="2511"/>
      <c r="E60" s="2511"/>
      <c r="F60" s="2511"/>
      <c r="G60" s="2511"/>
      <c r="I60" s="2772">
        <f>SUM(I40:J45)+SUM(I49:J59)</f>
        <v>17967647</v>
      </c>
      <c r="J60" s="2773"/>
      <c r="K60" s="2511"/>
      <c r="L60" s="2512"/>
      <c r="M60" s="203"/>
      <c r="N60" s="203"/>
      <c r="O60" s="203"/>
      <c r="P60" s="203"/>
      <c r="Q60" s="2511"/>
      <c r="S60" s="2776"/>
      <c r="T60" s="2777"/>
      <c r="Y60" s="2077"/>
      <c r="Z60" s="1281">
        <v>60</v>
      </c>
      <c r="AZ60" s="1252"/>
    </row>
    <row r="61" spans="1:52" s="135" customFormat="1" ht="14.25" customHeight="1" thickBot="1">
      <c r="A61" s="2511"/>
      <c r="B61" s="2517" t="s">
        <v>476</v>
      </c>
      <c r="C61" s="2511"/>
      <c r="D61" s="2511"/>
      <c r="E61" s="2511"/>
      <c r="F61" s="2511"/>
      <c r="G61" s="2511"/>
      <c r="I61" s="4354">
        <f>'Part III-A-Uses of Funds'!$G$146</f>
        <v>17967647</v>
      </c>
      <c r="J61" s="4355"/>
      <c r="K61" s="2511"/>
      <c r="L61" s="2512"/>
      <c r="M61" s="203"/>
      <c r="N61" s="203"/>
      <c r="O61" s="203"/>
      <c r="P61" s="203"/>
      <c r="Q61" s="2511"/>
      <c r="S61" s="2776"/>
      <c r="T61" s="2777"/>
      <c r="Y61" s="2077"/>
      <c r="Z61" s="1281">
        <v>61</v>
      </c>
      <c r="AZ61" s="1252"/>
    </row>
    <row r="62" spans="1:52" s="135" customFormat="1" ht="14.25" customHeight="1" thickBot="1">
      <c r="A62" s="2511"/>
      <c r="B62" s="2517" t="s">
        <v>477</v>
      </c>
      <c r="C62" s="2511"/>
      <c r="D62" s="2511"/>
      <c r="E62" s="2511"/>
      <c r="F62" s="2511"/>
      <c r="G62" s="2511"/>
      <c r="I62" s="2774">
        <f>I60-I61</f>
        <v>0</v>
      </c>
      <c r="J62" s="2775"/>
      <c r="K62" s="2511"/>
      <c r="L62" s="2512"/>
      <c r="M62" s="203"/>
      <c r="N62" s="203"/>
      <c r="O62" s="203"/>
      <c r="P62" s="203"/>
      <c r="Q62" s="2511"/>
      <c r="S62" s="2778"/>
      <c r="T62" s="2779"/>
      <c r="Y62" s="2077"/>
      <c r="Z62" s="1281">
        <v>62</v>
      </c>
      <c r="AZ62" s="1252"/>
    </row>
    <row r="63" spans="1:52" s="135" customFormat="1" ht="13.5" customHeight="1">
      <c r="A63" s="2511" t="s">
        <v>478</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52</v>
      </c>
      <c r="B65" s="151" t="s">
        <v>80</v>
      </c>
      <c r="C65" s="96"/>
      <c r="D65" s="96"/>
      <c r="E65" s="96"/>
      <c r="F65" s="96"/>
      <c r="G65" s="96"/>
      <c r="H65" s="96"/>
      <c r="I65" s="96"/>
      <c r="J65" s="96"/>
      <c r="M65" s="151" t="s">
        <v>52</v>
      </c>
      <c r="N65" s="151" t="s">
        <v>82</v>
      </c>
      <c r="O65" s="96"/>
      <c r="P65" s="96"/>
      <c r="Q65" s="96"/>
      <c r="Z65" s="1281">
        <v>65</v>
      </c>
      <c r="AZ65" s="1254"/>
    </row>
    <row r="66" spans="1:52" ht="111.75" customHeight="1">
      <c r="A66" s="2764" t="s">
        <v>479</v>
      </c>
      <c r="B66" s="2764"/>
      <c r="C66" s="2764"/>
      <c r="D66" s="2764"/>
      <c r="E66" s="2764"/>
      <c r="F66" s="2764"/>
      <c r="G66" s="2764"/>
      <c r="H66" s="2764"/>
      <c r="I66" s="2764"/>
      <c r="J66" s="2764"/>
      <c r="K66" s="2764"/>
      <c r="L66" s="2764"/>
      <c r="M66" s="2765"/>
      <c r="N66" s="2765"/>
      <c r="O66" s="2765"/>
      <c r="P66" s="2765"/>
      <c r="Q66" s="2765"/>
      <c r="S66" s="2766" t="s">
        <v>302</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85" customHeight="1">
      <c r="AZ70" s="1252"/>
    </row>
    <row r="71" spans="1:52" s="135" customFormat="1" ht="14.85" customHeight="1">
      <c r="Y71" s="2077"/>
      <c r="Z71" s="1316"/>
      <c r="AZ71" s="1252"/>
    </row>
    <row r="72" spans="1:52" s="135" customFormat="1" ht="14.85" customHeight="1">
      <c r="Y72" s="2077"/>
      <c r="Z72" s="1316"/>
      <c r="AZ72" s="1252"/>
    </row>
    <row r="73" spans="1:52" s="135" customFormat="1" ht="14.85" customHeight="1">
      <c r="Y73" s="2077"/>
      <c r="Z73" s="1316"/>
      <c r="AZ73" s="1251"/>
    </row>
    <row r="74" spans="1:52" ht="14.85" customHeight="1">
      <c r="AZ74" s="1252"/>
    </row>
    <row r="75" spans="1:52" s="135" customFormat="1" ht="14.85" customHeight="1">
      <c r="A75" s="181"/>
      <c r="Y75" s="2077"/>
      <c r="Z75" s="1316"/>
      <c r="AZ75" s="1252"/>
    </row>
    <row r="76" spans="1:52" s="135" customFormat="1" ht="14.85" customHeight="1">
      <c r="A76" s="181"/>
      <c r="Y76" s="2077"/>
      <c r="Z76" s="1316"/>
      <c r="AZ76" s="1252"/>
    </row>
    <row r="77" spans="1:52" s="135" customFormat="1" ht="14.85" customHeight="1">
      <c r="Y77" s="2077"/>
      <c r="Z77" s="1316"/>
      <c r="AZ77" s="1252"/>
    </row>
    <row r="78" spans="1:52" s="135" customFormat="1" ht="14.85" customHeight="1">
      <c r="A78" s="181"/>
      <c r="Y78" s="2077"/>
      <c r="Z78" s="1316"/>
      <c r="AZ78" s="1252"/>
    </row>
    <row r="79" spans="1:52" s="135" customFormat="1" ht="14.85" customHeight="1">
      <c r="A79" s="179"/>
      <c r="Y79" s="2077"/>
      <c r="Z79" s="1316"/>
      <c r="AZ79" s="1252"/>
    </row>
    <row r="80" spans="1:52" s="135" customFormat="1" ht="14.85" customHeight="1">
      <c r="A80" s="179"/>
      <c r="Y80" s="2077"/>
      <c r="Z80" s="1316"/>
      <c r="AZ80" s="1252"/>
    </row>
    <row r="81" spans="1:52" s="135" customFormat="1" ht="14.85" customHeight="1">
      <c r="A81" s="182"/>
      <c r="Y81" s="2077"/>
      <c r="Z81" s="1316"/>
      <c r="AZ81" s="1252"/>
    </row>
    <row r="82" spans="1:52" s="135" customFormat="1" ht="14.85" customHeight="1">
      <c r="A82" s="181"/>
      <c r="Y82" s="2077"/>
      <c r="Z82" s="1316"/>
      <c r="AZ82" s="1252"/>
    </row>
    <row r="83" spans="1:52" s="135" customFormat="1" ht="14.85" customHeight="1">
      <c r="A83" s="179"/>
      <c r="Y83" s="2077"/>
      <c r="Z83" s="1316"/>
      <c r="AZ83" s="1252"/>
    </row>
    <row r="84" spans="1:52" s="135" customFormat="1" ht="14.85" customHeight="1">
      <c r="A84" s="179"/>
      <c r="Y84" s="2077"/>
      <c r="Z84" s="1316"/>
      <c r="AZ84" s="1252"/>
    </row>
    <row r="85" spans="1:52" s="135" customFormat="1" ht="14.85" customHeight="1">
      <c r="A85" s="182"/>
      <c r="Y85" s="2077"/>
      <c r="Z85" s="1316"/>
      <c r="AZ85" s="1252"/>
    </row>
    <row r="86" spans="1:52" s="135" customFormat="1" ht="14.85" customHeight="1">
      <c r="A86" s="181"/>
      <c r="Y86" s="2077"/>
      <c r="Z86" s="1316"/>
      <c r="AZ86" s="1252"/>
    </row>
    <row r="87" spans="1:52" s="135" customFormat="1" ht="14.85" customHeight="1">
      <c r="A87" s="179"/>
      <c r="Y87" s="2077"/>
      <c r="Z87" s="1316"/>
      <c r="AZ87" s="1252"/>
    </row>
    <row r="88" spans="1:52" s="135" customFormat="1" ht="14.85" customHeight="1">
      <c r="A88" s="179"/>
      <c r="Y88" s="2077"/>
      <c r="Z88" s="1316"/>
      <c r="AZ88" s="1252"/>
    </row>
    <row r="89" spans="1:52" s="135" customFormat="1" ht="14.85" customHeight="1">
      <c r="A89" s="182"/>
      <c r="Y89" s="2077"/>
      <c r="Z89" s="1316"/>
      <c r="AZ89" s="1252"/>
    </row>
    <row r="90" spans="1:52" s="135" customFormat="1" ht="14.85" customHeight="1">
      <c r="A90" s="182"/>
      <c r="Y90" s="2077"/>
      <c r="Z90" s="1316"/>
      <c r="AZ90" s="1252"/>
    </row>
    <row r="91" spans="1:52" s="135" customFormat="1" ht="14.85" customHeight="1">
      <c r="A91" s="182"/>
      <c r="Y91" s="2077"/>
      <c r="Z91" s="1316"/>
      <c r="AZ91" s="1252"/>
    </row>
    <row r="92" spans="1:52" s="135" customFormat="1" ht="14.85" customHeight="1">
      <c r="A92" s="182"/>
      <c r="Y92" s="2077"/>
      <c r="Z92" s="1316"/>
      <c r="AZ92" s="1252"/>
    </row>
    <row r="93" spans="1:52" s="135" customFormat="1" ht="14.85" customHeight="1">
      <c r="Y93" s="2077"/>
      <c r="Z93" s="1316"/>
      <c r="AZ93" s="1252"/>
    </row>
    <row r="94" spans="1:52" s="135" customFormat="1" ht="14.85" customHeight="1">
      <c r="Y94" s="2077"/>
      <c r="Z94" s="1316"/>
      <c r="AZ94" s="1251"/>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2511"/>
      <c r="L101" s="135"/>
      <c r="M101" s="135"/>
      <c r="N101" s="135"/>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1" fitToHeight="2"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9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5"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25" customHeight="1">
      <c r="A2" s="108"/>
      <c r="B2" s="108"/>
      <c r="C2" s="108"/>
      <c r="D2" s="108"/>
      <c r="E2" s="108"/>
      <c r="F2" s="108"/>
      <c r="G2" s="108"/>
      <c r="H2" s="108"/>
    </row>
    <row r="3" spans="1:17" ht="14.85" customHeight="1">
      <c r="A3" s="2868" t="s">
        <v>480</v>
      </c>
      <c r="B3" s="2868"/>
      <c r="C3" s="2868"/>
      <c r="D3" s="2868"/>
      <c r="E3" s="2868"/>
      <c r="F3" s="2868"/>
      <c r="G3" s="108"/>
      <c r="H3" s="108"/>
    </row>
    <row r="4" spans="1:17" ht="6" customHeight="1"/>
    <row r="5" spans="1:17">
      <c r="A5" s="11" t="s">
        <v>481</v>
      </c>
      <c r="B5" s="11"/>
      <c r="C5" s="4356"/>
      <c r="D5" s="4357">
        <f>IF(C5&gt;1500000,1500000,0)</f>
        <v>0</v>
      </c>
      <c r="E5" s="4358">
        <f>IF(C5&gt;1500000,C5-1500000,0)</f>
        <v>0</v>
      </c>
    </row>
    <row r="6" spans="1:17">
      <c r="A6" s="11" t="s">
        <v>482</v>
      </c>
      <c r="B6" s="48" t="s">
        <v>483</v>
      </c>
      <c r="C6" s="132">
        <v>0</v>
      </c>
      <c r="D6" s="13" t="s">
        <v>484</v>
      </c>
      <c r="E6" s="11"/>
    </row>
    <row r="7" spans="1:17">
      <c r="A7" s="11"/>
      <c r="B7" s="48" t="s">
        <v>485</v>
      </c>
      <c r="C7" s="4359"/>
      <c r="D7" s="13" t="s">
        <v>486</v>
      </c>
      <c r="E7" s="11"/>
    </row>
    <row r="8" spans="1:17" ht="13.5" customHeight="1">
      <c r="A8" s="11" t="s">
        <v>487</v>
      </c>
      <c r="B8" s="11"/>
      <c r="C8" s="132">
        <v>0</v>
      </c>
      <c r="D8" s="13" t="s">
        <v>488</v>
      </c>
      <c r="E8" s="11"/>
    </row>
    <row r="9" spans="1:17">
      <c r="A9" s="11" t="s">
        <v>489</v>
      </c>
      <c r="B9" s="11"/>
      <c r="C9" s="4360"/>
      <c r="D9" s="11"/>
      <c r="E9" s="11"/>
    </row>
    <row r="10" spans="1:17">
      <c r="A10" s="11" t="s">
        <v>490</v>
      </c>
      <c r="B10" s="11"/>
      <c r="C10" s="4360"/>
      <c r="D10" s="11"/>
      <c r="E10" s="11"/>
    </row>
    <row r="11" spans="1:17">
      <c r="A11" s="11" t="s">
        <v>491</v>
      </c>
      <c r="B11" s="11"/>
      <c r="C11" s="133" t="e">
        <f>PMT(C7/12,C10*12,-C5,0,0)*12</f>
        <v>#NUM!</v>
      </c>
      <c r="D11" s="4357" t="e">
        <f>PMT($C$7/12,$C$10*12,-D5,0,0)*12</f>
        <v>#NUM!</v>
      </c>
      <c r="E11" s="4357" t="e">
        <f>PMT($C$7/12,$C$10*12,-E5,0,0)*12</f>
        <v>#NUM!</v>
      </c>
    </row>
    <row r="12" spans="1:17">
      <c r="A12" s="11" t="s">
        <v>492</v>
      </c>
      <c r="B12" s="11"/>
      <c r="C12" s="133" t="e">
        <f>C11/12</f>
        <v>#NUM!</v>
      </c>
      <c r="D12" s="4357" t="e">
        <f>D11/12</f>
        <v>#NUM!</v>
      </c>
      <c r="E12" s="4357" t="e">
        <f>E11/12</f>
        <v>#NUM!</v>
      </c>
    </row>
    <row r="13" spans="1:17" ht="11.25" customHeight="1">
      <c r="A13" s="108"/>
      <c r="B13" s="108"/>
      <c r="C13" s="108"/>
      <c r="D13" s="108"/>
      <c r="E13" s="108"/>
      <c r="F13" s="108"/>
      <c r="G13" s="108"/>
      <c r="H13" s="108"/>
    </row>
    <row r="14" spans="1:17" ht="12.75" customHeight="1">
      <c r="A14" s="2869" t="s">
        <v>493</v>
      </c>
      <c r="B14" s="2869"/>
      <c r="C14" s="2869"/>
      <c r="D14" s="2869"/>
      <c r="E14" s="2869"/>
      <c r="F14" s="2869"/>
      <c r="G14" s="108"/>
      <c r="H14" s="108"/>
    </row>
    <row r="15" spans="1:17" ht="5.85" customHeight="1">
      <c r="A15" s="6"/>
      <c r="E15" s="115"/>
      <c r="F15" s="108"/>
      <c r="G15" s="108"/>
      <c r="H15" s="108"/>
    </row>
    <row r="16" spans="1:17" ht="13.5" customHeight="1">
      <c r="A16" s="116" t="s">
        <v>494</v>
      </c>
      <c r="B16" s="2523" t="s">
        <v>495</v>
      </c>
      <c r="C16" s="2523" t="s">
        <v>496</v>
      </c>
      <c r="D16" s="2870" t="s">
        <v>497</v>
      </c>
      <c r="E16" s="2870"/>
      <c r="F16" s="108"/>
      <c r="G16" s="108"/>
      <c r="H16" s="108"/>
    </row>
    <row r="17" spans="1:8" ht="12.75" customHeight="1">
      <c r="A17" s="34">
        <v>1</v>
      </c>
      <c r="B17" s="4361">
        <f>IF(A17&gt;$C$9,0,SUM(C64:C75)*($C$6/$C$7))</f>
        <v>0</v>
      </c>
      <c r="C17" s="4362">
        <f>IF(A17&gt;C9,0,(E63+K63)*$C$8)</f>
        <v>0</v>
      </c>
      <c r="D17" s="4363">
        <f t="shared" ref="D17:D56" si="0">IF(A17&gt;$C$9,0,$C$11+C17)</f>
        <v>0</v>
      </c>
      <c r="E17" s="4363"/>
      <c r="F17" s="108"/>
      <c r="G17" s="108"/>
      <c r="H17" s="108"/>
    </row>
    <row r="18" spans="1:8" ht="12.75" customHeight="1">
      <c r="A18" s="34">
        <v>2</v>
      </c>
      <c r="B18" s="4361">
        <f>IF(A18&gt;C9,0,SUM(C76:C87)*($C$6/$C$7))</f>
        <v>0</v>
      </c>
      <c r="C18" s="4362">
        <f>IF(A18&gt;C9,0,(E75+K75)*$C$8)</f>
        <v>0</v>
      </c>
      <c r="D18" s="4364">
        <f t="shared" si="0"/>
        <v>0</v>
      </c>
      <c r="E18" s="4364"/>
      <c r="F18" s="108"/>
      <c r="G18" s="108"/>
      <c r="H18" s="108"/>
    </row>
    <row r="19" spans="1:8" ht="12.75" customHeight="1">
      <c r="A19" s="34">
        <v>3</v>
      </c>
      <c r="B19" s="4361">
        <f>IF(A19&gt;C9,0,SUM(C88:C99)*($C$6/$C$7))</f>
        <v>0</v>
      </c>
      <c r="C19" s="4362">
        <f>IF(A19&gt;C9,0,(E87+K87)*$C$8)</f>
        <v>0</v>
      </c>
      <c r="D19" s="4364">
        <f t="shared" si="0"/>
        <v>0</v>
      </c>
      <c r="E19" s="4364"/>
      <c r="F19" s="108"/>
      <c r="G19" s="108"/>
      <c r="H19" s="108"/>
    </row>
    <row r="20" spans="1:8" ht="12.75" customHeight="1">
      <c r="A20" s="34">
        <v>4</v>
      </c>
      <c r="B20" s="4361">
        <f>IF(A20&gt;C9,0,SUM(C100:C111)*($C$6/$C$7))</f>
        <v>0</v>
      </c>
      <c r="C20" s="4362">
        <f>IF(A20&gt;C9,0,(E99+K99)*$C$8)</f>
        <v>0</v>
      </c>
      <c r="D20" s="4364">
        <f t="shared" si="0"/>
        <v>0</v>
      </c>
      <c r="E20" s="4364"/>
      <c r="F20" s="108"/>
      <c r="G20" s="108"/>
      <c r="H20" s="108"/>
    </row>
    <row r="21" spans="1:8" ht="12.75" customHeight="1">
      <c r="A21" s="34">
        <v>5</v>
      </c>
      <c r="B21" s="4361">
        <f>IF(A21&gt;C9,0,SUM(C112:C123)*($C$6/$C$7))</f>
        <v>0</v>
      </c>
      <c r="C21" s="4362">
        <f>IF(A21&gt;C9,0,(E111+K111)*$C$8)</f>
        <v>0</v>
      </c>
      <c r="D21" s="4365">
        <f t="shared" si="0"/>
        <v>0</v>
      </c>
      <c r="E21" s="4365"/>
      <c r="F21" s="108"/>
      <c r="G21" s="108"/>
      <c r="H21" s="108"/>
    </row>
    <row r="22" spans="1:8" ht="12.75" customHeight="1">
      <c r="A22" s="105">
        <v>6</v>
      </c>
      <c r="B22" s="4366">
        <f>IF(A22&gt;C9,0,SUM(C124:C135)*($C$6/$C$7))</f>
        <v>0</v>
      </c>
      <c r="C22" s="4367">
        <f>IF(A22&gt;C9,0,(E123+K123)*$C$8)</f>
        <v>0</v>
      </c>
      <c r="D22" s="4364">
        <f t="shared" si="0"/>
        <v>0</v>
      </c>
      <c r="E22" s="4364"/>
      <c r="F22" s="108"/>
      <c r="G22" s="108"/>
      <c r="H22" s="108"/>
    </row>
    <row r="23" spans="1:8" ht="12.75" customHeight="1">
      <c r="A23" s="34">
        <v>7</v>
      </c>
      <c r="B23" s="4361">
        <f>IF(A23&gt;C9,0,SUM(C136:C147)*($C$6/$C$7))</f>
        <v>0</v>
      </c>
      <c r="C23" s="4362">
        <f>IF(A23&gt;C9,0,(E135+K135)*$C$8)</f>
        <v>0</v>
      </c>
      <c r="D23" s="4364">
        <f t="shared" si="0"/>
        <v>0</v>
      </c>
      <c r="E23" s="4364"/>
      <c r="F23" s="108"/>
      <c r="G23" s="108"/>
      <c r="H23" s="108"/>
    </row>
    <row r="24" spans="1:8" ht="12.75" customHeight="1">
      <c r="A24" s="34">
        <v>8</v>
      </c>
      <c r="B24" s="4361">
        <f>IF(A24&gt;C9,0,SUM(C148:C159)*($C$6/$C$7))</f>
        <v>0</v>
      </c>
      <c r="C24" s="4362">
        <f>IF(A24&gt;C9,0,(E147+K147)*$C$8)</f>
        <v>0</v>
      </c>
      <c r="D24" s="4364">
        <f t="shared" si="0"/>
        <v>0</v>
      </c>
      <c r="E24" s="4364"/>
      <c r="F24" s="108"/>
      <c r="G24" s="108"/>
      <c r="H24" s="108"/>
    </row>
    <row r="25" spans="1:8" ht="12.75" customHeight="1">
      <c r="A25" s="34">
        <v>9</v>
      </c>
      <c r="B25" s="4361">
        <f>IF(A25&gt;C9,0,SUM(C160:C171)*($C$6/$C$7))</f>
        <v>0</v>
      </c>
      <c r="C25" s="4362">
        <f>IF(A25&gt;C9,0,(E159+K159)*$C$8)</f>
        <v>0</v>
      </c>
      <c r="D25" s="4364">
        <f t="shared" si="0"/>
        <v>0</v>
      </c>
      <c r="E25" s="4364"/>
      <c r="F25" s="108"/>
      <c r="G25" s="108"/>
      <c r="H25" s="108"/>
    </row>
    <row r="26" spans="1:8" ht="12.75" customHeight="1">
      <c r="A26" s="106">
        <v>10</v>
      </c>
      <c r="B26" s="4368">
        <f>IF(A26&gt;C9,0,SUM(C172:C183)*($C$6/$C$7))</f>
        <v>0</v>
      </c>
      <c r="C26" s="4369">
        <f>IF(A26&gt;C9,0,(E171+K171)*$C$8)</f>
        <v>0</v>
      </c>
      <c r="D26" s="4365">
        <f t="shared" si="0"/>
        <v>0</v>
      </c>
      <c r="E26" s="4365"/>
      <c r="F26" s="108"/>
      <c r="G26" s="108"/>
      <c r="H26" s="108"/>
    </row>
    <row r="27" spans="1:8" ht="12.75" customHeight="1">
      <c r="A27" s="34">
        <v>11</v>
      </c>
      <c r="B27" s="4361">
        <f>IF(A27&gt;C9,0,SUM(C184:C195)*($C$6/$C$7))</f>
        <v>0</v>
      </c>
      <c r="C27" s="4362">
        <f>IF(A27&gt;C9,0,(E183+K183)*$C$8)</f>
        <v>0</v>
      </c>
      <c r="D27" s="4364">
        <f t="shared" si="0"/>
        <v>0</v>
      </c>
      <c r="E27" s="4364"/>
      <c r="F27" s="108"/>
      <c r="G27" s="108"/>
      <c r="H27" s="108"/>
    </row>
    <row r="28" spans="1:8" ht="12.75" customHeight="1">
      <c r="A28" s="34">
        <v>12</v>
      </c>
      <c r="B28" s="4361">
        <f>IF(A28&gt;C9,0,SUM(C196:C207)*($C$6/$C$7))</f>
        <v>0</v>
      </c>
      <c r="C28" s="4362">
        <f>IF(A28&gt;C9,0,(E195+K195)*$C$8)</f>
        <v>0</v>
      </c>
      <c r="D28" s="4364">
        <f t="shared" si="0"/>
        <v>0</v>
      </c>
      <c r="E28" s="4364"/>
      <c r="F28" s="108"/>
      <c r="G28" s="108"/>
      <c r="H28" s="108"/>
    </row>
    <row r="29" spans="1:8" ht="12.75" customHeight="1">
      <c r="A29" s="34">
        <v>13</v>
      </c>
      <c r="B29" s="4361">
        <f>IF(A29&gt;C9,0,SUM(C208:C219)*($C$6/$C$7))</f>
        <v>0</v>
      </c>
      <c r="C29" s="4362">
        <f>IF(A29&gt;C9,0,(E207+K207)*$C$8)</f>
        <v>0</v>
      </c>
      <c r="D29" s="4364">
        <f t="shared" si="0"/>
        <v>0</v>
      </c>
      <c r="E29" s="4364"/>
      <c r="F29" s="108"/>
      <c r="G29" s="108"/>
      <c r="H29" s="108"/>
    </row>
    <row r="30" spans="1:8" ht="12.75" customHeight="1">
      <c r="A30" s="34">
        <v>14</v>
      </c>
      <c r="B30" s="4361">
        <f>IF(A30&gt;C9,0,SUM(C220:C231)*($C$6/$C$7))</f>
        <v>0</v>
      </c>
      <c r="C30" s="4362">
        <f>IF(A30&gt;C9,0,(E219+K219)*$C$8)</f>
        <v>0</v>
      </c>
      <c r="D30" s="4364">
        <f t="shared" si="0"/>
        <v>0</v>
      </c>
      <c r="E30" s="4364"/>
      <c r="F30" s="108"/>
      <c r="G30" s="108"/>
      <c r="H30" s="108"/>
    </row>
    <row r="31" spans="1:8" ht="12.75" customHeight="1">
      <c r="A31" s="34">
        <v>15</v>
      </c>
      <c r="B31" s="4361">
        <f>IF(A31&gt;C9,0,SUM(C232:C243)*($C$6/$C$7))</f>
        <v>0</v>
      </c>
      <c r="C31" s="4362">
        <f>IF(A31&gt;C9,0,(E231+K231)*$C$8)</f>
        <v>0</v>
      </c>
      <c r="D31" s="4365">
        <f t="shared" si="0"/>
        <v>0</v>
      </c>
      <c r="E31" s="4365"/>
      <c r="F31" s="108"/>
      <c r="G31" s="108"/>
      <c r="H31" s="108"/>
    </row>
    <row r="32" spans="1:8" ht="12.75" customHeight="1">
      <c r="A32" s="105">
        <v>16</v>
      </c>
      <c r="B32" s="4366">
        <f>IF(A32&gt;C9,0,SUM(C244:C255)*($C$6/$C$7))</f>
        <v>0</v>
      </c>
      <c r="C32" s="4367">
        <f>IF(A32&gt;C9,0,(E243+K243)*$C$8)</f>
        <v>0</v>
      </c>
      <c r="D32" s="4364">
        <f t="shared" si="0"/>
        <v>0</v>
      </c>
      <c r="E32" s="4364"/>
      <c r="F32" s="108"/>
      <c r="G32" s="108"/>
      <c r="H32" s="108"/>
    </row>
    <row r="33" spans="1:8" ht="12.75" customHeight="1">
      <c r="A33" s="34">
        <v>17</v>
      </c>
      <c r="B33" s="4361">
        <f>IF(A33&gt;C9,0,SUM(C256:C267)*($C$6/$C$7))</f>
        <v>0</v>
      </c>
      <c r="C33" s="4362">
        <f>IF(A33&gt;C9,0,(E255+K255)*$C$8)</f>
        <v>0</v>
      </c>
      <c r="D33" s="4364">
        <f t="shared" si="0"/>
        <v>0</v>
      </c>
      <c r="E33" s="4364"/>
      <c r="F33" s="108"/>
      <c r="G33" s="108"/>
      <c r="H33" s="108"/>
    </row>
    <row r="34" spans="1:8" ht="12.75" customHeight="1">
      <c r="A34" s="34">
        <v>18</v>
      </c>
      <c r="B34" s="4361">
        <f>IF(A34&gt;C9,0,SUM(C268:C279)*($C$6/$C$7))</f>
        <v>0</v>
      </c>
      <c r="C34" s="4362">
        <f>IF(A34&gt;C9,0,(E267+K267)*$C$8)</f>
        <v>0</v>
      </c>
      <c r="D34" s="4364">
        <f t="shared" si="0"/>
        <v>0</v>
      </c>
      <c r="E34" s="4364"/>
      <c r="F34" s="108"/>
      <c r="G34" s="108"/>
      <c r="H34" s="108"/>
    </row>
    <row r="35" spans="1:8" ht="12.75" customHeight="1">
      <c r="A35" s="34">
        <v>19</v>
      </c>
      <c r="B35" s="4361">
        <f>IF(A35&gt;C9,0,SUM(C280:C291)*($C$6/$C$7))</f>
        <v>0</v>
      </c>
      <c r="C35" s="4362">
        <f>IF(A35&gt;C9,0,(E279+K279)*$C$8)</f>
        <v>0</v>
      </c>
      <c r="D35" s="4364">
        <f t="shared" si="0"/>
        <v>0</v>
      </c>
      <c r="E35" s="4364"/>
      <c r="F35" s="108"/>
      <c r="G35" s="108"/>
      <c r="H35" s="108"/>
    </row>
    <row r="36" spans="1:8" ht="12.75" customHeight="1">
      <c r="A36" s="106">
        <v>20</v>
      </c>
      <c r="B36" s="4368">
        <f>IF(A36&gt;C9,0,SUM(C292:C303)*($C$6/$C$7))</f>
        <v>0</v>
      </c>
      <c r="C36" s="4369">
        <f>IF(A36&gt;C9,0,(E291+K291)*$C$8)</f>
        <v>0</v>
      </c>
      <c r="D36" s="4365">
        <f t="shared" si="0"/>
        <v>0</v>
      </c>
      <c r="E36" s="4365"/>
      <c r="F36" s="108"/>
      <c r="G36" s="108"/>
      <c r="H36" s="108"/>
    </row>
    <row r="37" spans="1:8" ht="12.75" customHeight="1">
      <c r="A37" s="34">
        <v>21</v>
      </c>
      <c r="B37" s="4366">
        <f>IF(A37&gt;C9,0,SUM(C293:C304)*($C$6/$C$7))</f>
        <v>0</v>
      </c>
      <c r="C37" s="4367">
        <f>IF(A37&gt;C9,0,(E303+K303)*$C$8)</f>
        <v>0</v>
      </c>
      <c r="D37" s="4370">
        <f t="shared" si="0"/>
        <v>0</v>
      </c>
      <c r="E37" s="4370"/>
      <c r="F37" s="108"/>
      <c r="G37" s="108"/>
      <c r="H37" s="108"/>
    </row>
    <row r="38" spans="1:8" ht="12.75" customHeight="1">
      <c r="A38" s="34">
        <v>22</v>
      </c>
      <c r="B38" s="4361">
        <f>IF(A38&gt;C9,0,SUM(C294:C305)*($C$6/$C$7))</f>
        <v>0</v>
      </c>
      <c r="C38" s="4362">
        <f>IF(A38&gt;C9,0,(E315+K315)*$C$8)</f>
        <v>0</v>
      </c>
      <c r="D38" s="4364">
        <f t="shared" si="0"/>
        <v>0</v>
      </c>
      <c r="E38" s="4364"/>
      <c r="F38" s="108"/>
      <c r="G38" s="108"/>
      <c r="H38" s="108"/>
    </row>
    <row r="39" spans="1:8" ht="12.75" customHeight="1">
      <c r="A39" s="34">
        <v>23</v>
      </c>
      <c r="B39" s="4361">
        <f>IF(A39&gt;C9,0,SUM(C295:C306)*($C$6/$C$7))</f>
        <v>0</v>
      </c>
      <c r="C39" s="4362">
        <f>IF(A39&gt;C9,0,(E327+K327)*$C$8)</f>
        <v>0</v>
      </c>
      <c r="D39" s="4364">
        <f t="shared" si="0"/>
        <v>0</v>
      </c>
      <c r="E39" s="4364"/>
      <c r="F39" s="108"/>
      <c r="G39" s="108"/>
      <c r="H39" s="108"/>
    </row>
    <row r="40" spans="1:8" ht="12.75" customHeight="1">
      <c r="A40" s="34">
        <v>24</v>
      </c>
      <c r="B40" s="4361">
        <f>IF(A40&gt;C9,0,SUM(C296:C307)*($C$6/$C$7))</f>
        <v>0</v>
      </c>
      <c r="C40" s="4362">
        <f>IF(A40&gt;C9,0,(E339+K339)*$C$8)</f>
        <v>0</v>
      </c>
      <c r="D40" s="4364">
        <f t="shared" si="0"/>
        <v>0</v>
      </c>
      <c r="E40" s="4364"/>
      <c r="F40" s="108"/>
      <c r="G40" s="108"/>
      <c r="H40" s="108"/>
    </row>
    <row r="41" spans="1:8" ht="12.75" customHeight="1">
      <c r="A41" s="34">
        <v>25</v>
      </c>
      <c r="B41" s="4368">
        <f>IF(A41&gt;C9,0,SUM(C297:C308)*($C$6/$C$7))</f>
        <v>0</v>
      </c>
      <c r="C41" s="4369">
        <f>IF(A41&gt;C9,0,(E351+K351)*$C$8)</f>
        <v>0</v>
      </c>
      <c r="D41" s="4365">
        <f t="shared" si="0"/>
        <v>0</v>
      </c>
      <c r="E41" s="4365"/>
      <c r="F41" s="108"/>
      <c r="G41" s="108"/>
      <c r="H41" s="108"/>
    </row>
    <row r="42" spans="1:8" ht="12.75" customHeight="1">
      <c r="A42" s="105">
        <v>26</v>
      </c>
      <c r="B42" s="4366">
        <f>IF(A42&gt;C9,0,SUM(C298:C309)*($C$6/$C$7))</f>
        <v>0</v>
      </c>
      <c r="C42" s="4367">
        <f>IF(A42&gt;C9,0,(E363+K363)*$C$8)</f>
        <v>0</v>
      </c>
      <c r="D42" s="4370">
        <f t="shared" si="0"/>
        <v>0</v>
      </c>
      <c r="E42" s="4370"/>
      <c r="F42" s="108"/>
      <c r="G42" s="108"/>
      <c r="H42" s="108"/>
    </row>
    <row r="43" spans="1:8" ht="12.75" customHeight="1">
      <c r="A43" s="34">
        <v>27</v>
      </c>
      <c r="B43" s="4361">
        <f>IF(A43&gt;C9,0,SUM(C299:C310)*($C$6/$C$7))</f>
        <v>0</v>
      </c>
      <c r="C43" s="4362">
        <f>IF(A43&gt;C9,0,(E375+K375)*$C$8)</f>
        <v>0</v>
      </c>
      <c r="D43" s="4364">
        <f t="shared" si="0"/>
        <v>0</v>
      </c>
      <c r="E43" s="4364"/>
      <c r="F43" s="108"/>
      <c r="G43" s="108"/>
      <c r="H43" s="108"/>
    </row>
    <row r="44" spans="1:8" ht="12.75" customHeight="1">
      <c r="A44" s="34">
        <v>28</v>
      </c>
      <c r="B44" s="4361">
        <f>IF(A44&gt;C9,0,SUM(C300:C311)*($C$6/$C$7))</f>
        <v>0</v>
      </c>
      <c r="C44" s="4362">
        <f>IF(A44&gt;C9,0,(E387+K387)*$C$8)</f>
        <v>0</v>
      </c>
      <c r="D44" s="4364">
        <f t="shared" si="0"/>
        <v>0</v>
      </c>
      <c r="E44" s="4364"/>
      <c r="F44" s="108"/>
      <c r="G44" s="108"/>
      <c r="H44" s="108"/>
    </row>
    <row r="45" spans="1:8" ht="12.75" customHeight="1">
      <c r="A45" s="34">
        <v>29</v>
      </c>
      <c r="B45" s="4361">
        <f>IF(A45&gt;C9,0,SUM(C301:C312)*($C$6/$C$7))</f>
        <v>0</v>
      </c>
      <c r="C45" s="4362">
        <f>IF(A45&gt;C9,0,(E411+K411)*$C$8)</f>
        <v>0</v>
      </c>
      <c r="D45" s="4364">
        <f t="shared" si="0"/>
        <v>0</v>
      </c>
      <c r="E45" s="4364"/>
      <c r="F45" s="108"/>
      <c r="G45" s="108"/>
      <c r="H45" s="108"/>
    </row>
    <row r="46" spans="1:8" ht="12.75" customHeight="1">
      <c r="A46" s="106">
        <v>30</v>
      </c>
      <c r="B46" s="4368">
        <f>IF(A46&gt;C9,0,SUM(C302:C313)*($C$6/$C$7))</f>
        <v>0</v>
      </c>
      <c r="C46" s="4369">
        <f>IF(A46&gt;C9,0,(E423+K423)*$C$8)</f>
        <v>0</v>
      </c>
      <c r="D46" s="4365">
        <f t="shared" si="0"/>
        <v>0</v>
      </c>
      <c r="E46" s="4365"/>
      <c r="F46" s="108"/>
      <c r="G46" s="108"/>
      <c r="H46" s="108"/>
    </row>
    <row r="47" spans="1:8" ht="12.75" customHeight="1">
      <c r="A47" s="105">
        <v>31</v>
      </c>
      <c r="B47" s="4366">
        <f>IF(A47&gt;C9,0,SUM(C303:C314)*($C$6/$C$7))</f>
        <v>0</v>
      </c>
      <c r="C47" s="4367">
        <f>IF(A47&gt;C9,0,(E435+K435)*$C$8)</f>
        <v>0</v>
      </c>
      <c r="D47" s="4370">
        <f t="shared" si="0"/>
        <v>0</v>
      </c>
      <c r="E47" s="4370"/>
      <c r="F47" s="108"/>
      <c r="G47" s="108"/>
      <c r="H47" s="108"/>
    </row>
    <row r="48" spans="1:8" ht="12.75" customHeight="1">
      <c r="A48" s="34">
        <v>32</v>
      </c>
      <c r="B48" s="4361">
        <f>IF(A48&gt;C9,0,SUM(C304:C315)*($C$6/$C$7))</f>
        <v>0</v>
      </c>
      <c r="C48" s="4362">
        <f>IF(A48&gt;C9,0,(E447+K447)*$C$8)</f>
        <v>0</v>
      </c>
      <c r="D48" s="4364">
        <f t="shared" si="0"/>
        <v>0</v>
      </c>
      <c r="E48" s="4364"/>
      <c r="F48" s="108"/>
      <c r="G48" s="108"/>
      <c r="H48" s="108"/>
    </row>
    <row r="49" spans="1:12" ht="12.75" customHeight="1">
      <c r="A49" s="34">
        <v>33</v>
      </c>
      <c r="B49" s="4361">
        <f>IF(A49&gt;C9,0,SUM(C305:C316)*($C$6/$C$7))</f>
        <v>0</v>
      </c>
      <c r="C49" s="4362">
        <f>IF(A49&gt;C9,0,(E459+K459)*$C$8)</f>
        <v>0</v>
      </c>
      <c r="D49" s="4364">
        <f t="shared" si="0"/>
        <v>0</v>
      </c>
      <c r="E49" s="4364"/>
      <c r="F49" s="108"/>
      <c r="G49" s="108"/>
      <c r="H49" s="108"/>
    </row>
    <row r="50" spans="1:12" ht="12.75" customHeight="1">
      <c r="A50" s="34">
        <v>34</v>
      </c>
      <c r="B50" s="4361">
        <f>IF(A50&gt;C9,0,SUM(C306:C317)*($C$6/$C$7))</f>
        <v>0</v>
      </c>
      <c r="C50" s="4362">
        <f>IF(A50&gt;C9,0,(E471+K471)*$C$8)</f>
        <v>0</v>
      </c>
      <c r="D50" s="4364">
        <f t="shared" si="0"/>
        <v>0</v>
      </c>
      <c r="E50" s="4364"/>
      <c r="F50" s="108"/>
      <c r="G50" s="108"/>
      <c r="H50" s="108"/>
    </row>
    <row r="51" spans="1:12" ht="12.75" customHeight="1">
      <c r="A51" s="106">
        <v>35</v>
      </c>
      <c r="B51" s="4368">
        <f>IF(A51&gt;C9,0,SUM(C307:C318)*($C$6/$C$7))</f>
        <v>0</v>
      </c>
      <c r="C51" s="4369">
        <f>IF(A51&gt;C9,0,(E483+K483)*$C$8)</f>
        <v>0</v>
      </c>
      <c r="D51" s="4365">
        <f t="shared" si="0"/>
        <v>0</v>
      </c>
      <c r="E51" s="4365"/>
      <c r="F51" s="108"/>
      <c r="G51" s="108"/>
      <c r="H51" s="108"/>
    </row>
    <row r="52" spans="1:12" ht="12.75" customHeight="1">
      <c r="A52" s="105">
        <v>36</v>
      </c>
      <c r="B52" s="4366">
        <f>IF(A52&gt;C9,0,SUM(C308:C319)*($C$6/$C$7))</f>
        <v>0</v>
      </c>
      <c r="C52" s="4367">
        <f>IF(A52&gt;C9,0,(E495+K495)*$C$8)</f>
        <v>0</v>
      </c>
      <c r="D52" s="4370">
        <f t="shared" si="0"/>
        <v>0</v>
      </c>
      <c r="E52" s="4370"/>
      <c r="F52" s="108"/>
      <c r="G52" s="108"/>
      <c r="H52" s="108"/>
    </row>
    <row r="53" spans="1:12" ht="12.75" customHeight="1">
      <c r="A53" s="34">
        <v>37</v>
      </c>
      <c r="B53" s="4361">
        <f>IF(A53&gt;C9,0,SUM(C309:C320)*($C$6/$C$7))</f>
        <v>0</v>
      </c>
      <c r="C53" s="4362">
        <f>IF(A53&gt;C9,0,(E507+K507)*$C$8)</f>
        <v>0</v>
      </c>
      <c r="D53" s="4364">
        <f t="shared" si="0"/>
        <v>0</v>
      </c>
      <c r="E53" s="4364"/>
      <c r="F53" s="108"/>
      <c r="G53" s="108"/>
      <c r="H53" s="108"/>
    </row>
    <row r="54" spans="1:12" ht="12.75" customHeight="1">
      <c r="A54" s="34">
        <v>38</v>
      </c>
      <c r="B54" s="4361">
        <f>IF(A54&gt;C9,0,SUM(C310:C321)*($C$6/$C$7))</f>
        <v>0</v>
      </c>
      <c r="C54" s="4362">
        <f>IF(A54&gt;C9,0,(E519+K519)*$C$8)</f>
        <v>0</v>
      </c>
      <c r="D54" s="4364">
        <f t="shared" si="0"/>
        <v>0</v>
      </c>
      <c r="E54" s="4364"/>
      <c r="F54" s="108"/>
      <c r="G54" s="108"/>
      <c r="H54" s="108"/>
    </row>
    <row r="55" spans="1:12" ht="12.75" customHeight="1">
      <c r="A55" s="34">
        <v>39</v>
      </c>
      <c r="B55" s="4361">
        <f>IF(A55&gt;C9,0,SUM(C311:C322)*($C$6/$C$7))</f>
        <v>0</v>
      </c>
      <c r="C55" s="4362">
        <f>IF(A55&gt;C9,0,(E531+K531)*$C$8)</f>
        <v>0</v>
      </c>
      <c r="D55" s="4364">
        <f t="shared" si="0"/>
        <v>0</v>
      </c>
      <c r="E55" s="4364"/>
      <c r="F55" s="108"/>
      <c r="G55" s="108"/>
      <c r="H55" s="108"/>
    </row>
    <row r="56" spans="1:12" ht="12.75"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4.1">
      <c r="A59" s="2868" t="s">
        <v>498</v>
      </c>
      <c r="B59" s="2868"/>
      <c r="C59" s="2868"/>
      <c r="D59" s="2868"/>
      <c r="E59" s="2868"/>
      <c r="F59" s="2868"/>
      <c r="G59" s="2868" t="s">
        <v>498</v>
      </c>
      <c r="H59" s="2868"/>
      <c r="I59" s="2868"/>
      <c r="J59" s="2868"/>
      <c r="K59" s="2868"/>
      <c r="L59" s="2868"/>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75"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95"/>
  <cols>
    <col min="1" max="1" width="7.28515625" customWidth="1"/>
    <col min="2" max="6" width="16.7109375" customWidth="1"/>
    <col min="7" max="7" width="11.42578125" customWidth="1"/>
    <col min="8" max="8" width="2.28515625" style="34" customWidth="1"/>
    <col min="9" max="9" width="10.42578125" bestFit="1" customWidth="1"/>
    <col min="10" max="10" width="12.28515625" customWidth="1"/>
    <col min="11" max="11" width="10.7109375" customWidth="1"/>
  </cols>
  <sheetData>
    <row r="1" spans="1:17" s="4" customFormat="1" ht="16.5"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75" customHeight="1">
      <c r="A3" s="2868" t="s">
        <v>480</v>
      </c>
      <c r="B3" s="2868"/>
      <c r="C3" s="2868"/>
      <c r="D3" s="2868"/>
      <c r="E3" s="2868"/>
      <c r="F3" s="2868"/>
      <c r="G3" s="121"/>
      <c r="H3" s="121"/>
    </row>
    <row r="4" spans="1:17">
      <c r="A4" s="6"/>
    </row>
    <row r="5" spans="1:17" ht="13.5" customHeight="1">
      <c r="A5" t="s">
        <v>481</v>
      </c>
      <c r="D5" s="4372"/>
      <c r="E5" s="2871" t="s">
        <v>505</v>
      </c>
      <c r="F5" s="2872"/>
      <c r="G5" s="83"/>
    </row>
    <row r="6" spans="1:17">
      <c r="E6" s="2872"/>
      <c r="F6" s="2872"/>
      <c r="G6" s="83"/>
    </row>
    <row r="7" spans="1:17">
      <c r="A7" t="s">
        <v>482</v>
      </c>
      <c r="C7" t="s">
        <v>506</v>
      </c>
      <c r="D7" s="4373"/>
      <c r="E7" s="2872"/>
      <c r="F7" s="2872"/>
      <c r="G7" s="83"/>
    </row>
    <row r="8" spans="1:17">
      <c r="C8" t="s">
        <v>507</v>
      </c>
      <c r="D8" s="4373"/>
      <c r="E8" s="2872"/>
      <c r="F8" s="2872"/>
      <c r="G8" s="83"/>
    </row>
    <row r="9" spans="1:17">
      <c r="C9" t="s">
        <v>508</v>
      </c>
      <c r="D9" s="4373"/>
      <c r="E9" s="2872"/>
      <c r="F9" s="2872"/>
      <c r="G9" s="83"/>
    </row>
    <row r="10" spans="1:17">
      <c r="C10" t="s">
        <v>485</v>
      </c>
      <c r="D10" s="122">
        <f>D7+D8+D9</f>
        <v>0</v>
      </c>
      <c r="E10" s="2872"/>
      <c r="F10" s="2872"/>
      <c r="G10" s="83"/>
    </row>
    <row r="11" spans="1:17">
      <c r="F11" s="83"/>
      <c r="G11" s="83"/>
    </row>
    <row r="12" spans="1:17">
      <c r="A12" t="s">
        <v>509</v>
      </c>
      <c r="D12" s="4374"/>
      <c r="E12" t="s">
        <v>510</v>
      </c>
      <c r="F12" s="83"/>
      <c r="G12" s="83"/>
    </row>
    <row r="13" spans="1:17">
      <c r="D13" s="107"/>
      <c r="F13" s="83"/>
      <c r="G13" s="83"/>
    </row>
    <row r="14" spans="1:17">
      <c r="A14" t="s">
        <v>511</v>
      </c>
      <c r="D14" s="4375"/>
      <c r="E14" t="s">
        <v>512</v>
      </c>
      <c r="F14" s="123"/>
    </row>
    <row r="15" spans="1:17">
      <c r="D15" s="117"/>
      <c r="F15" s="123"/>
    </row>
    <row r="16" spans="1:17">
      <c r="A16" t="s">
        <v>513</v>
      </c>
      <c r="D16" s="4375"/>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2869" t="s">
        <v>517</v>
      </c>
      <c r="B24" s="2869"/>
      <c r="C24" s="2869"/>
      <c r="D24" s="2869"/>
      <c r="E24" s="2869"/>
      <c r="F24" s="2869"/>
      <c r="J24" s="4376"/>
    </row>
    <row r="25" spans="1:10">
      <c r="C25" s="107"/>
      <c r="J25" s="4376"/>
    </row>
    <row r="26" spans="1:10">
      <c r="A26" s="49"/>
      <c r="B26" s="34"/>
      <c r="C26" s="2873" t="s">
        <v>497</v>
      </c>
      <c r="D26" s="120"/>
      <c r="E26" s="34"/>
      <c r="F26" s="2873" t="s">
        <v>497</v>
      </c>
      <c r="J26" s="4376"/>
    </row>
    <row r="27" spans="1:10">
      <c r="A27" s="124" t="s">
        <v>494</v>
      </c>
      <c r="B27" s="2533" t="s">
        <v>518</v>
      </c>
      <c r="C27" s="2874"/>
      <c r="D27" s="125" t="s">
        <v>494</v>
      </c>
      <c r="E27" s="2533" t="s">
        <v>518</v>
      </c>
      <c r="F27" s="2874"/>
      <c r="J27" s="4376"/>
    </row>
    <row r="28" spans="1:10">
      <c r="A28" s="2604">
        <v>1</v>
      </c>
      <c r="B28" s="4377">
        <f>IF(A28&gt;D14,0,E55*$D$12)</f>
        <v>0</v>
      </c>
      <c r="C28" s="4377">
        <f>IF(A28&gt;$D$14,0,$D$18+B28)</f>
        <v>0</v>
      </c>
      <c r="D28" s="4378">
        <v>21</v>
      </c>
      <c r="E28" s="4377">
        <f>IF(D28&gt;$D$14,0,E295*$D$12)</f>
        <v>0</v>
      </c>
      <c r="F28" s="4377">
        <f>IF(D28&gt;$D$14,0,$D$18+E28)</f>
        <v>0</v>
      </c>
      <c r="J28" s="4376"/>
    </row>
    <row r="29" spans="1:10">
      <c r="A29" s="2604">
        <v>2</v>
      </c>
      <c r="B29" s="4377">
        <f>IF(A29&gt;D14,0,E67*$D$12)</f>
        <v>0</v>
      </c>
      <c r="C29" s="4377">
        <f t="shared" ref="C29:C47" si="0">IF(A29&gt;$D$14,0,$D$18+B29)</f>
        <v>0</v>
      </c>
      <c r="D29" s="4378">
        <v>22</v>
      </c>
      <c r="E29" s="4377">
        <f>IF(D29&gt;$D$14,0,E307*$D$12)</f>
        <v>0</v>
      </c>
      <c r="F29" s="4377">
        <f t="shared" ref="F29:F47" si="1">IF(D29&gt;$D$14,0,$D$18+E29)</f>
        <v>0</v>
      </c>
      <c r="J29" s="4376"/>
    </row>
    <row r="30" spans="1:10">
      <c r="A30" s="2604">
        <v>3</v>
      </c>
      <c r="B30" s="4377">
        <f>IF(A30&gt;D14,0,E79*$D$12)</f>
        <v>0</v>
      </c>
      <c r="C30" s="4377">
        <f t="shared" si="0"/>
        <v>0</v>
      </c>
      <c r="D30" s="4378">
        <v>23</v>
      </c>
      <c r="E30" s="4377">
        <f>IF(D30&gt;$D$14,0,E319*$D$12)</f>
        <v>0</v>
      </c>
      <c r="F30" s="4377">
        <f t="shared" si="1"/>
        <v>0</v>
      </c>
      <c r="J30" s="4376"/>
    </row>
    <row r="31" spans="1:10">
      <c r="A31" s="2604">
        <v>4</v>
      </c>
      <c r="B31" s="4377">
        <f>IF(A31&gt;D14,0,E91*$D$12)</f>
        <v>0</v>
      </c>
      <c r="C31" s="4377">
        <f t="shared" si="0"/>
        <v>0</v>
      </c>
      <c r="D31" s="4378">
        <v>24</v>
      </c>
      <c r="E31" s="4377">
        <f>IF(D31&gt;$D$14,0,E331*$D$12)</f>
        <v>0</v>
      </c>
      <c r="F31" s="4377">
        <f t="shared" si="1"/>
        <v>0</v>
      </c>
      <c r="J31" s="4376"/>
    </row>
    <row r="32" spans="1:10">
      <c r="A32" s="260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4">
        <v>7</v>
      </c>
      <c r="B34" s="4377">
        <f>IF(A34&gt;D14,0,E127*$D$12)</f>
        <v>0</v>
      </c>
      <c r="C34" s="4377">
        <f t="shared" si="0"/>
        <v>0</v>
      </c>
      <c r="D34" s="4378">
        <v>27</v>
      </c>
      <c r="E34" s="4377">
        <f>IF(D34&gt;$D$14,0,E367*$D$12)</f>
        <v>0</v>
      </c>
      <c r="F34" s="4377">
        <f t="shared" si="1"/>
        <v>0</v>
      </c>
      <c r="J34" s="4376"/>
    </row>
    <row r="35" spans="1:10">
      <c r="A35" s="2604">
        <v>8</v>
      </c>
      <c r="B35" s="4377">
        <f>IF(A35&gt;D14,0,E139*$D$12)</f>
        <v>0</v>
      </c>
      <c r="C35" s="4377">
        <f t="shared" si="0"/>
        <v>0</v>
      </c>
      <c r="D35" s="4378">
        <v>28</v>
      </c>
      <c r="E35" s="4377">
        <f>IF(D35&gt;$D$14,0,E379*$D$12)</f>
        <v>0</v>
      </c>
      <c r="F35" s="4377">
        <f t="shared" si="1"/>
        <v>0</v>
      </c>
      <c r="J35" s="4376"/>
    </row>
    <row r="36" spans="1:10">
      <c r="A36" s="260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4">
        <v>11</v>
      </c>
      <c r="B38" s="4377">
        <f>IF(A38&gt;D14,0,E175*$D$12)</f>
        <v>0</v>
      </c>
      <c r="C38" s="4377">
        <f t="shared" si="0"/>
        <v>0</v>
      </c>
      <c r="D38" s="4378">
        <v>31</v>
      </c>
      <c r="E38" s="4377">
        <f>IF(D38&gt;$D$14,0,E415*$D$12)</f>
        <v>0</v>
      </c>
      <c r="F38" s="4377">
        <f t="shared" si="1"/>
        <v>0</v>
      </c>
      <c r="J38" s="4376"/>
    </row>
    <row r="39" spans="1:10">
      <c r="A39" s="2604">
        <v>12</v>
      </c>
      <c r="B39" s="4377">
        <f>IF(A39&gt;D14,0,E187*$D$12)</f>
        <v>0</v>
      </c>
      <c r="C39" s="4377">
        <f t="shared" si="0"/>
        <v>0</v>
      </c>
      <c r="D39" s="4378">
        <v>32</v>
      </c>
      <c r="E39" s="4377">
        <f>IF(D39&gt;$D$14,0,E427*$D$12)</f>
        <v>0</v>
      </c>
      <c r="F39" s="4377">
        <f t="shared" si="1"/>
        <v>0</v>
      </c>
      <c r="J39" s="4376"/>
    </row>
    <row r="40" spans="1:10">
      <c r="A40" s="2604">
        <v>13</v>
      </c>
      <c r="B40" s="4377">
        <f>IF(A40&gt;D14,0,E199*$D$12)</f>
        <v>0</v>
      </c>
      <c r="C40" s="4377">
        <f t="shared" si="0"/>
        <v>0</v>
      </c>
      <c r="D40" s="4378">
        <v>33</v>
      </c>
      <c r="E40" s="4377">
        <f>IF(D40&gt;$D$14,0,E439*$D$12)</f>
        <v>0</v>
      </c>
      <c r="F40" s="4377">
        <f t="shared" si="1"/>
        <v>0</v>
      </c>
      <c r="J40" s="4376"/>
    </row>
    <row r="41" spans="1:10">
      <c r="A41" s="2604">
        <v>14</v>
      </c>
      <c r="B41" s="4377">
        <f>IF(A41&gt;D14,0,E211*$D$12)</f>
        <v>0</v>
      </c>
      <c r="C41" s="4377">
        <f t="shared" si="0"/>
        <v>0</v>
      </c>
      <c r="D41" s="4378">
        <v>34</v>
      </c>
      <c r="E41" s="4377">
        <f>IF(D41&gt;$D$14,0,E451*$D$12)</f>
        <v>0</v>
      </c>
      <c r="F41" s="4377">
        <f t="shared" si="1"/>
        <v>0</v>
      </c>
      <c r="J41" s="4376"/>
    </row>
    <row r="42" spans="1:10">
      <c r="A42" s="260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4">
        <v>17</v>
      </c>
      <c r="B44" s="4377">
        <f>IF(A44&gt;D14,0,E247*$D$12)</f>
        <v>0</v>
      </c>
      <c r="C44" s="4377">
        <f t="shared" si="0"/>
        <v>0</v>
      </c>
      <c r="D44" s="4378">
        <v>37</v>
      </c>
      <c r="E44" s="4377">
        <f>IF(D44&gt;$D$14,0,E487*$D$12)</f>
        <v>0</v>
      </c>
      <c r="F44" s="4377">
        <f t="shared" si="1"/>
        <v>0</v>
      </c>
      <c r="J44" s="4376"/>
    </row>
    <row r="45" spans="1:10">
      <c r="A45" s="2604">
        <v>18</v>
      </c>
      <c r="B45" s="4377">
        <f>IF(A45&gt;D14,0,E259*$D$12)</f>
        <v>0</v>
      </c>
      <c r="C45" s="4377">
        <f t="shared" si="0"/>
        <v>0</v>
      </c>
      <c r="D45" s="4378">
        <v>38</v>
      </c>
      <c r="E45" s="4377">
        <f>IF(D45&gt;$D$14,0,E499*$D$12)</f>
        <v>0</v>
      </c>
      <c r="F45" s="4377">
        <f t="shared" si="1"/>
        <v>0</v>
      </c>
      <c r="J45" s="4376"/>
    </row>
    <row r="46" spans="1:10">
      <c r="A46" s="260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25" customHeight="1">
      <c r="A50" s="4371" t="e">
        <f>CONCATENATE(#REF!," ",#REF!,", ",#REF!,", ",#REF!," County")</f>
        <v>#REF!</v>
      </c>
      <c r="B50" s="4371"/>
      <c r="C50" s="4371"/>
      <c r="D50" s="4371"/>
      <c r="E50" s="4371"/>
      <c r="F50" s="4371"/>
      <c r="G50" s="48"/>
      <c r="H50" s="48"/>
    </row>
    <row r="51" spans="1:10" ht="14.1">
      <c r="A51" s="2868" t="s">
        <v>498</v>
      </c>
      <c r="B51" s="2868"/>
      <c r="C51" s="2868"/>
      <c r="D51" s="2868"/>
      <c r="E51" s="2868"/>
      <c r="F51" s="2868"/>
      <c r="G51" s="121"/>
      <c r="H51" s="121"/>
      <c r="I51" s="121"/>
      <c r="J51" s="121"/>
    </row>
    <row r="52" spans="1:10" ht="5.85" customHeight="1">
      <c r="C52" s="107"/>
      <c r="D52" s="107"/>
    </row>
    <row r="53" spans="1:10">
      <c r="A53" s="109" t="s">
        <v>499</v>
      </c>
      <c r="B53" s="109" t="s">
        <v>500</v>
      </c>
      <c r="C53" s="109" t="s">
        <v>501</v>
      </c>
      <c r="D53" s="109" t="s">
        <v>502</v>
      </c>
      <c r="E53" s="109" t="s">
        <v>503</v>
      </c>
      <c r="F53" s="119" t="s">
        <v>494</v>
      </c>
      <c r="G53" s="109"/>
      <c r="H53" s="109"/>
      <c r="I53" s="109"/>
    </row>
    <row r="54" spans="1:10" ht="3.75"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5" zoomScale="130" zoomScaleNormal="130" workbookViewId="0">
      <selection activeCell="E125" sqref="E125"/>
    </sheetView>
  </sheetViews>
  <sheetFormatPr defaultColWidth="9.28515625" defaultRowHeight="12.95"/>
  <cols>
    <col min="1" max="1" width="2.42578125" style="96" customWidth="1"/>
    <col min="2" max="2" width="5.42578125" style="96" customWidth="1"/>
    <col min="3" max="3" width="18.28515625" style="96" customWidth="1"/>
    <col min="4" max="4" width="7.28515625" style="96" customWidth="1"/>
    <col min="5" max="5" width="12.42578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519</v>
      </c>
      <c r="J1" s="1314" t="s">
        <v>520</v>
      </c>
      <c r="M1" s="1314" t="s">
        <v>521</v>
      </c>
      <c r="N1" s="1314" t="s">
        <v>522</v>
      </c>
      <c r="P1" s="1314" t="s">
        <v>523</v>
      </c>
      <c r="Q1" s="1314" t="s">
        <v>524</v>
      </c>
      <c r="S1" s="1314" t="s">
        <v>525</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Abbington Blue Ridge, Blue Ridge, Fannin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Abbington Blue Ridge, Blue Ridge, Fannin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25"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526</v>
      </c>
      <c r="C6" s="2511"/>
      <c r="D6" s="3017" t="str">
        <f>'Part I-Project Identification'!$A$6</f>
        <v>2024 May 7</v>
      </c>
      <c r="E6" s="3017"/>
      <c r="F6" s="3017"/>
      <c r="G6" s="3017"/>
      <c r="H6" s="3017"/>
      <c r="I6" s="270"/>
      <c r="J6" s="2938" t="s">
        <v>527</v>
      </c>
      <c r="K6" s="2939"/>
      <c r="L6" s="183"/>
      <c r="M6" s="2948" t="s">
        <v>528</v>
      </c>
      <c r="N6" s="2949"/>
      <c r="O6" s="2511"/>
      <c r="P6" s="2938" t="s">
        <v>529</v>
      </c>
      <c r="Q6" s="2939"/>
      <c r="R6" s="2511"/>
      <c r="S6" s="2938" t="s">
        <v>530</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531</v>
      </c>
      <c r="H7" s="2953"/>
      <c r="I7" s="2511"/>
      <c r="J7" s="2940"/>
      <c r="K7" s="2941"/>
      <c r="L7" s="183"/>
      <c r="M7" s="2950"/>
      <c r="N7" s="2951"/>
      <c r="O7" s="2511"/>
      <c r="P7" s="2940"/>
      <c r="Q7" s="2941"/>
      <c r="R7" s="2511"/>
      <c r="S7" s="2940"/>
      <c r="T7" s="2941"/>
      <c r="U7" s="2511"/>
      <c r="V7" s="159" t="s">
        <v>363</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532</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533</v>
      </c>
      <c r="C9" s="2511"/>
      <c r="D9" s="2511"/>
      <c r="E9" s="2511"/>
      <c r="F9" s="2511"/>
      <c r="G9" s="4333">
        <v>6500</v>
      </c>
      <c r="H9" s="4334"/>
      <c r="I9" s="2511"/>
      <c r="J9" s="4333">
        <v>6500</v>
      </c>
      <c r="K9" s="4334"/>
      <c r="L9" s="2531"/>
      <c r="M9" s="4333"/>
      <c r="N9" s="4334"/>
      <c r="O9" s="2511"/>
      <c r="P9" s="4333"/>
      <c r="Q9" s="4334"/>
      <c r="R9" s="2511"/>
      <c r="S9" s="4333"/>
      <c r="T9" s="4334"/>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534</v>
      </c>
      <c r="C10" s="2511"/>
      <c r="D10" s="2511"/>
      <c r="E10" s="2511"/>
      <c r="F10" s="2511"/>
      <c r="G10" s="2824">
        <v>8500</v>
      </c>
      <c r="H10" s="2825"/>
      <c r="I10" s="2511"/>
      <c r="J10" s="2824">
        <v>8500</v>
      </c>
      <c r="K10" s="2825"/>
      <c r="L10" s="2531"/>
      <c r="M10" s="2824"/>
      <c r="N10" s="2825"/>
      <c r="O10" s="2511"/>
      <c r="P10" s="2824"/>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535</v>
      </c>
      <c r="C11" s="2511"/>
      <c r="D11" s="2511"/>
      <c r="E11" s="2511"/>
      <c r="F11" s="2511"/>
      <c r="G11" s="2824">
        <v>28500</v>
      </c>
      <c r="H11" s="2825"/>
      <c r="I11" s="2511"/>
      <c r="J11" s="2824">
        <v>28500</v>
      </c>
      <c r="K11" s="2825"/>
      <c r="L11" s="2531"/>
      <c r="M11" s="2824"/>
      <c r="N11" s="2825"/>
      <c r="O11" s="2511"/>
      <c r="P11" s="2824"/>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536</v>
      </c>
      <c r="C12" s="2511"/>
      <c r="D12" s="2511"/>
      <c r="E12" s="2511"/>
      <c r="F12" s="2511"/>
      <c r="G12" s="2824">
        <v>18000</v>
      </c>
      <c r="H12" s="2825"/>
      <c r="I12" s="2511"/>
      <c r="J12" s="2824">
        <v>18000</v>
      </c>
      <c r="K12" s="2825"/>
      <c r="L12" s="2531"/>
      <c r="M12" s="2824"/>
      <c r="N12" s="2825"/>
      <c r="O12" s="2511"/>
      <c r="P12" s="2824"/>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537</v>
      </c>
      <c r="C13" s="2511"/>
      <c r="D13" s="2511"/>
      <c r="E13" s="2511"/>
      <c r="F13" s="2511"/>
      <c r="G13" s="2824">
        <v>12000</v>
      </c>
      <c r="H13" s="2825"/>
      <c r="I13" s="2511"/>
      <c r="J13" s="2824">
        <v>12000</v>
      </c>
      <c r="K13" s="2825"/>
      <c r="L13" s="2531"/>
      <c r="M13" s="2824"/>
      <c r="N13" s="2825"/>
      <c r="O13" s="2511"/>
      <c r="P13" s="2824"/>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538</v>
      </c>
      <c r="C14" s="2511"/>
      <c r="D14" s="2511"/>
      <c r="E14" s="2511"/>
      <c r="F14" s="2511"/>
      <c r="G14" s="2824">
        <v>500</v>
      </c>
      <c r="H14" s="2825"/>
      <c r="I14" s="2511"/>
      <c r="J14" s="2824">
        <v>500</v>
      </c>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539</v>
      </c>
      <c r="C15" s="2946" t="s">
        <v>540</v>
      </c>
      <c r="D15" s="2946"/>
      <c r="E15" s="2946"/>
      <c r="F15" s="2947"/>
      <c r="G15" s="2824">
        <v>12000</v>
      </c>
      <c r="H15" s="2825"/>
      <c r="I15" s="2511"/>
      <c r="J15" s="2824">
        <v>12000</v>
      </c>
      <c r="K15" s="2825"/>
      <c r="L15" s="2531"/>
      <c r="M15" s="2824"/>
      <c r="N15" s="2825"/>
      <c r="O15" s="2511"/>
      <c r="P15" s="2824"/>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541</v>
      </c>
      <c r="BA15" s="1281">
        <v>15</v>
      </c>
    </row>
    <row r="16" spans="1:53" s="95" customFormat="1" ht="11.25" customHeight="1">
      <c r="A16" s="205" t="str">
        <f>IF(AND(G16&gt;0,OR(C16="",C16="&lt;Enter detailed description here; use Comments section if needed&gt;")),"X","")</f>
        <v/>
      </c>
      <c r="B16" s="98" t="s">
        <v>542</v>
      </c>
      <c r="C16" s="2946" t="s">
        <v>543</v>
      </c>
      <c r="D16" s="2946"/>
      <c r="E16" s="2946"/>
      <c r="F16" s="2947"/>
      <c r="G16" s="2824"/>
      <c r="H16" s="2825"/>
      <c r="I16" s="2511"/>
      <c r="J16" s="2824">
        <f t="shared" ref="J16:J17" si="0">G16</f>
        <v>0</v>
      </c>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544</v>
      </c>
      <c r="BA16" s="1281">
        <v>16</v>
      </c>
    </row>
    <row r="17" spans="1:53" s="95" customFormat="1" ht="11.25" customHeight="1" thickBot="1">
      <c r="A17" s="205" t="str">
        <f>IF(AND(G17&gt;0,OR(C17="",C17="&lt;Enter detailed description here; use Comments section if needed&gt;")),"X","")</f>
        <v/>
      </c>
      <c r="B17" s="98" t="s">
        <v>545</v>
      </c>
      <c r="C17" s="2946" t="s">
        <v>543</v>
      </c>
      <c r="D17" s="2946"/>
      <c r="E17" s="2946"/>
      <c r="F17" s="2947"/>
      <c r="G17" s="2954"/>
      <c r="H17" s="2955"/>
      <c r="I17" s="2511"/>
      <c r="J17" s="2954">
        <f t="shared" si="0"/>
        <v>0</v>
      </c>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546</v>
      </c>
      <c r="BA17" s="1281">
        <v>17</v>
      </c>
    </row>
    <row r="18" spans="1:53" s="95" customFormat="1" ht="12.75" customHeight="1" thickTop="1">
      <c r="A18" s="2511"/>
      <c r="B18" s="2511"/>
      <c r="C18" s="2511"/>
      <c r="D18" s="2511"/>
      <c r="E18" s="2511"/>
      <c r="F18" s="184" t="s">
        <v>547</v>
      </c>
      <c r="G18" s="2944">
        <f>SUM(G9:G17)</f>
        <v>86000</v>
      </c>
      <c r="H18" s="2945"/>
      <c r="I18" s="2511"/>
      <c r="J18" s="2944">
        <f>SUM(J9:J17)</f>
        <v>86000</v>
      </c>
      <c r="K18" s="2945"/>
      <c r="L18" s="2531"/>
      <c r="M18" s="2944">
        <f>SUM(M9:M17)</f>
        <v>0</v>
      </c>
      <c r="N18" s="2945"/>
      <c r="O18" s="2511"/>
      <c r="P18" s="2944">
        <f>SUM(P9:P17)</f>
        <v>0</v>
      </c>
      <c r="Q18" s="2945"/>
      <c r="R18" s="2511"/>
      <c r="S18" s="2944">
        <f>SUM(S9:S17)</f>
        <v>0</v>
      </c>
      <c r="T18" s="2945"/>
      <c r="U18" s="2511"/>
      <c r="V18" s="638">
        <f>SUM(V9:V17)</f>
        <v>0</v>
      </c>
      <c r="W18" s="4385"/>
      <c r="X18" s="4386"/>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548</v>
      </c>
      <c r="BA18" s="1281">
        <v>18</v>
      </c>
    </row>
    <row r="19" spans="1:53" s="95" customFormat="1" ht="12" customHeight="1">
      <c r="A19" s="2511"/>
      <c r="B19" s="151" t="s">
        <v>549</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550</v>
      </c>
      <c r="C20" s="2511"/>
      <c r="D20" s="2511"/>
      <c r="E20" s="498" t="s">
        <v>551</v>
      </c>
      <c r="F20" s="1462">
        <f>IF('Part I-Project Identification'!$O$28="","",G20/'Part I-Project Identification'!$O$28)</f>
        <v>199652.77777777778</v>
      </c>
      <c r="G20" s="4333">
        <v>2300000</v>
      </c>
      <c r="H20" s="4334"/>
      <c r="I20" s="2511"/>
      <c r="J20" s="186"/>
      <c r="K20" s="183"/>
      <c r="L20" s="186"/>
      <c r="M20" s="186"/>
      <c r="N20" s="183"/>
      <c r="O20" s="2511"/>
      <c r="P20" s="186"/>
      <c r="Q20" s="183"/>
      <c r="R20" s="2511"/>
      <c r="S20" s="4333">
        <v>2300000</v>
      </c>
      <c r="T20" s="4334"/>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552</v>
      </c>
      <c r="C21" s="2511"/>
      <c r="D21" s="2511"/>
      <c r="E21" s="2511"/>
      <c r="F21" s="2511"/>
      <c r="G21" s="2824">
        <v>50000</v>
      </c>
      <c r="H21" s="2825"/>
      <c r="I21" s="2511"/>
      <c r="J21" s="186"/>
      <c r="K21" s="183"/>
      <c r="L21" s="186"/>
      <c r="M21" s="186"/>
      <c r="N21" s="183"/>
      <c r="O21" s="2511"/>
      <c r="P21" s="186"/>
      <c r="Q21" s="183"/>
      <c r="R21" s="2511"/>
      <c r="S21" s="2824">
        <v>50000</v>
      </c>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553</v>
      </c>
      <c r="C22" s="2511"/>
      <c r="D22" s="2511"/>
      <c r="E22" s="2511"/>
      <c r="F22" s="2511"/>
      <c r="G22" s="2824"/>
      <c r="H22" s="2825"/>
      <c r="I22" s="2511"/>
      <c r="J22" s="186"/>
      <c r="K22" s="183"/>
      <c r="L22" s="186"/>
      <c r="M22" s="4333"/>
      <c r="N22" s="4334"/>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554</v>
      </c>
      <c r="C23" s="2511"/>
      <c r="D23" s="2511"/>
      <c r="E23" s="2511"/>
      <c r="F23" s="2511"/>
      <c r="G23" s="2954"/>
      <c r="H23" s="2955"/>
      <c r="I23" s="2511"/>
      <c r="J23" s="186"/>
      <c r="K23" s="183"/>
      <c r="L23" s="186"/>
      <c r="M23" s="2954"/>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75" customHeight="1" thickTop="1">
      <c r="A24" s="2511"/>
      <c r="B24" s="2511"/>
      <c r="C24" s="2511"/>
      <c r="D24" s="2511"/>
      <c r="E24" s="2511"/>
      <c r="F24" s="184" t="s">
        <v>547</v>
      </c>
      <c r="G24" s="2944">
        <f>SUM(G20:G23)</f>
        <v>2350000</v>
      </c>
      <c r="H24" s="2945"/>
      <c r="I24" s="2511"/>
      <c r="J24" s="186"/>
      <c r="K24" s="183"/>
      <c r="L24" s="186"/>
      <c r="M24" s="2944">
        <f>SUM(M22:M23)</f>
        <v>0</v>
      </c>
      <c r="N24" s="2945"/>
      <c r="O24" s="2511"/>
      <c r="P24" s="186"/>
      <c r="Q24" s="183"/>
      <c r="R24" s="2511"/>
      <c r="S24" s="2944">
        <f>SUM(S20:S23)</f>
        <v>2350000</v>
      </c>
      <c r="T24" s="2945"/>
      <c r="U24" s="2511"/>
      <c r="V24" s="638">
        <f>SUM(V20:V23)</f>
        <v>0</v>
      </c>
      <c r="W24" s="4385"/>
      <c r="X24" s="4386"/>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555</v>
      </c>
      <c r="BA24" s="1281">
        <v>24</v>
      </c>
    </row>
    <row r="25" spans="1:53" s="95" customFormat="1" ht="12" customHeight="1">
      <c r="A25" s="2511"/>
      <c r="B25" s="151" t="s">
        <v>556</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557</v>
      </c>
      <c r="C26" s="2511"/>
      <c r="D26" s="2511"/>
      <c r="E26" s="498" t="s">
        <v>551</v>
      </c>
      <c r="F26" s="1462">
        <f>IF('Part I-Project Identification'!$O$28="","",G26/'Part I-Project Identification'!$O$28)</f>
        <v>123697.91666666667</v>
      </c>
      <c r="G26" s="4333">
        <f>900000+150000+25000-50000+400000</f>
        <v>1425000</v>
      </c>
      <c r="H26" s="4334"/>
      <c r="I26" s="2511"/>
      <c r="J26" s="4333">
        <v>1400000</v>
      </c>
      <c r="K26" s="4334"/>
      <c r="L26" s="2531"/>
      <c r="M26" s="4387"/>
      <c r="N26" s="4388"/>
      <c r="O26" s="2511"/>
      <c r="P26" s="4387"/>
      <c r="Q26" s="4388"/>
      <c r="R26" s="2511"/>
      <c r="S26" s="4333">
        <v>25000</v>
      </c>
      <c r="T26" s="4334"/>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558</v>
      </c>
      <c r="C27" s="2511"/>
      <c r="D27" s="2511"/>
      <c r="E27" s="2511"/>
      <c r="F27" s="2511"/>
      <c r="G27" s="2954"/>
      <c r="H27" s="2955"/>
      <c r="I27" s="2511"/>
      <c r="J27" s="2954"/>
      <c r="K27" s="2955"/>
      <c r="L27" s="187"/>
      <c r="M27" s="4389"/>
      <c r="N27" s="4389"/>
      <c r="O27" s="2511"/>
      <c r="P27" s="4389"/>
      <c r="Q27" s="4389"/>
      <c r="R27" s="2511"/>
      <c r="S27" s="2954">
        <f>G27</f>
        <v>0</v>
      </c>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75" customHeight="1" thickTop="1">
      <c r="A28" s="2511"/>
      <c r="B28" s="2511"/>
      <c r="C28" s="2511"/>
      <c r="D28" s="2511"/>
      <c r="E28" s="2511"/>
      <c r="F28" s="184" t="s">
        <v>547</v>
      </c>
      <c r="G28" s="2944">
        <f>SUM(G26:G27)</f>
        <v>1425000</v>
      </c>
      <c r="H28" s="2945"/>
      <c r="I28" s="2511"/>
      <c r="J28" s="2944">
        <f>SUM(J26:J27)</f>
        <v>1400000</v>
      </c>
      <c r="K28" s="2945"/>
      <c r="L28" s="186"/>
      <c r="M28" s="2944">
        <f>M26</f>
        <v>0</v>
      </c>
      <c r="N28" s="2945"/>
      <c r="O28" s="2511"/>
      <c r="P28" s="2944">
        <f>P26</f>
        <v>0</v>
      </c>
      <c r="Q28" s="2945"/>
      <c r="R28" s="2511"/>
      <c r="S28" s="2944">
        <f>SUM(S26:S27)</f>
        <v>25000</v>
      </c>
      <c r="T28" s="2945"/>
      <c r="U28" s="2511"/>
      <c r="V28" s="638">
        <f>SUM(V26:V27)</f>
        <v>0</v>
      </c>
      <c r="W28" s="4385"/>
      <c r="X28" s="4386"/>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559</v>
      </c>
      <c r="BA28" s="1281">
        <v>28</v>
      </c>
    </row>
    <row r="29" spans="1:53" s="95" customFormat="1" ht="12" customHeight="1">
      <c r="A29" s="2511"/>
      <c r="B29" s="151" t="s">
        <v>560</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561</v>
      </c>
      <c r="C30" s="2511"/>
      <c r="D30" s="2511"/>
      <c r="E30" s="2511"/>
      <c r="F30" s="2511"/>
      <c r="G30" s="4333">
        <v>7716375</v>
      </c>
      <c r="H30" s="4334"/>
      <c r="I30" s="2511"/>
      <c r="J30" s="4333">
        <v>7716375</v>
      </c>
      <c r="K30" s="4334"/>
      <c r="L30" s="2531"/>
      <c r="M30" s="4333"/>
      <c r="N30" s="4334"/>
      <c r="O30" s="2511"/>
      <c r="P30" s="4333"/>
      <c r="Q30" s="4334"/>
      <c r="R30" s="2511"/>
      <c r="S30" s="4333"/>
      <c r="T30" s="4334"/>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562</v>
      </c>
      <c r="C31" s="2511"/>
      <c r="D31" s="2511"/>
      <c r="E31" s="2511"/>
      <c r="F31" s="2511"/>
      <c r="G31" s="2824"/>
      <c r="H31" s="2825"/>
      <c r="I31" s="2511"/>
      <c r="J31" s="2824"/>
      <c r="K31" s="2825"/>
      <c r="L31" s="2531"/>
      <c r="M31" s="2824"/>
      <c r="N31" s="2825"/>
      <c r="O31" s="2511"/>
      <c r="P31" s="2824"/>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563</v>
      </c>
      <c r="C32" s="2511"/>
      <c r="D32" s="2511"/>
      <c r="E32" s="2511"/>
      <c r="F32" s="2511"/>
      <c r="G32" s="2824"/>
      <c r="H32" s="2825"/>
      <c r="I32" s="2511"/>
      <c r="J32" s="2824"/>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564</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565</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566</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75" customHeight="1" thickTop="1">
      <c r="A36" s="2511"/>
      <c r="B36" s="2511"/>
      <c r="C36" s="3011"/>
      <c r="D36" s="3011"/>
      <c r="E36" s="2526"/>
      <c r="F36" s="184" t="s">
        <v>547</v>
      </c>
      <c r="G36" s="2944">
        <f>SUM(G30:G35)</f>
        <v>7716375</v>
      </c>
      <c r="H36" s="2945"/>
      <c r="I36" s="2511"/>
      <c r="J36" s="2944">
        <f>SUM(J30:J35)</f>
        <v>7716375</v>
      </c>
      <c r="K36" s="2945"/>
      <c r="L36" s="2531"/>
      <c r="M36" s="2944">
        <f>SUM(M30:M35)</f>
        <v>0</v>
      </c>
      <c r="N36" s="2945"/>
      <c r="O36" s="2511"/>
      <c r="P36" s="2944">
        <f>SUM(P30:P35)</f>
        <v>0</v>
      </c>
      <c r="Q36" s="2945"/>
      <c r="R36" s="2511"/>
      <c r="S36" s="2944">
        <f>SUM(S30:S35)</f>
        <v>0</v>
      </c>
      <c r="T36" s="2945"/>
      <c r="U36" s="2511"/>
      <c r="V36" s="638">
        <f>SUM(V30:V35)</f>
        <v>0</v>
      </c>
      <c r="W36" s="4385"/>
      <c r="X36" s="4386"/>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567</v>
      </c>
      <c r="BA36" s="1281">
        <v>36</v>
      </c>
    </row>
    <row r="37" spans="1:53" s="95" customFormat="1" ht="12" customHeight="1">
      <c r="A37" s="2511"/>
      <c r="B37" s="151" t="s">
        <v>568</v>
      </c>
      <c r="C37" s="2511"/>
      <c r="D37" s="3010" t="s">
        <v>569</v>
      </c>
      <c r="E37" s="3010"/>
      <c r="F37" s="575">
        <f>SUM(F38:F40)</f>
        <v>0.13999983591089962</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570</v>
      </c>
      <c r="C38" s="2511"/>
      <c r="D38" s="1504">
        <f>'DCA Underwriting Assumptions'!$R$52</f>
        <v>0.06</v>
      </c>
      <c r="E38" s="1505">
        <f>ROUNDDOWN(D38*(G28+G36),0)</f>
        <v>548482</v>
      </c>
      <c r="F38" s="1506">
        <f>IF(($G$28+$G$36)=0,0,G38/($G$28+$G$36))</f>
        <v>5.9999945303633208E-2</v>
      </c>
      <c r="G38" s="4333">
        <v>548482</v>
      </c>
      <c r="H38" s="4334"/>
      <c r="I38" s="96"/>
      <c r="J38" s="4333">
        <v>548482</v>
      </c>
      <c r="K38" s="4334"/>
      <c r="L38" s="2531"/>
      <c r="M38" s="4333"/>
      <c r="N38" s="4334"/>
      <c r="O38" s="2511"/>
      <c r="P38" s="4333"/>
      <c r="Q38" s="4334"/>
      <c r="R38" s="2511"/>
      <c r="S38" s="4333"/>
      <c r="T38" s="4334"/>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571</v>
      </c>
      <c r="C39" s="2511"/>
      <c r="D39" s="1504">
        <f>'DCA Underwriting Assumptions'!$R$53</f>
        <v>0.02</v>
      </c>
      <c r="E39" s="1505">
        <f>ROUNDDOWN(D39*(G28+G36),0)</f>
        <v>182827</v>
      </c>
      <c r="F39" s="1506">
        <f>IF(($G$28+$G$36)=0,0,G39/($G$28+$G$36))</f>
        <v>1.9999945303633207E-2</v>
      </c>
      <c r="G39" s="2824">
        <v>182827</v>
      </c>
      <c r="H39" s="2825"/>
      <c r="I39" s="96"/>
      <c r="J39" s="2824">
        <v>182827</v>
      </c>
      <c r="K39" s="2825"/>
      <c r="L39" s="2531"/>
      <c r="M39" s="2824"/>
      <c r="N39" s="2825"/>
      <c r="O39" s="2511"/>
      <c r="P39" s="2824"/>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572</v>
      </c>
      <c r="C40" s="2511"/>
      <c r="D40" s="1507">
        <f>'DCA Underwriting Assumptions'!$R$54</f>
        <v>0.06</v>
      </c>
      <c r="E40" s="1508">
        <f>ROUNDDOWN(D40*(G28+G36),0)</f>
        <v>548482</v>
      </c>
      <c r="F40" s="1509">
        <f>IF(($G$28+$G$36)=0,0,G40/($G$28+$G$36))</f>
        <v>5.9999945303633208E-2</v>
      </c>
      <c r="G40" s="2954">
        <v>548482</v>
      </c>
      <c r="H40" s="2955"/>
      <c r="I40" s="96"/>
      <c r="J40" s="2954">
        <v>548482</v>
      </c>
      <c r="K40" s="2955"/>
      <c r="L40" s="2531"/>
      <c r="M40" s="2954"/>
      <c r="N40" s="2955"/>
      <c r="O40" s="2511"/>
      <c r="P40" s="2954"/>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75" customHeight="1" thickTop="1">
      <c r="A41" s="2511"/>
      <c r="B41" s="98" t="s">
        <v>573</v>
      </c>
      <c r="C41" s="2511"/>
      <c r="D41" s="576">
        <f>SUM(D38:D40)</f>
        <v>0.14000000000000001</v>
      </c>
      <c r="E41" s="577">
        <f>SUM(E38:E40)</f>
        <v>1279791</v>
      </c>
      <c r="F41" s="1503" t="s">
        <v>547</v>
      </c>
      <c r="G41" s="2944">
        <f>SUM(G38:G40)</f>
        <v>1279791</v>
      </c>
      <c r="H41" s="2945"/>
      <c r="I41" s="2511"/>
      <c r="J41" s="2944">
        <f>SUM(J38:J40)</f>
        <v>1279791</v>
      </c>
      <c r="K41" s="2945"/>
      <c r="L41" s="186"/>
      <c r="M41" s="2944">
        <f>SUM(M38:M40)</f>
        <v>0</v>
      </c>
      <c r="N41" s="2945"/>
      <c r="O41" s="2511"/>
      <c r="P41" s="2944">
        <f>SUM(P38:P40)</f>
        <v>0</v>
      </c>
      <c r="Q41" s="2945"/>
      <c r="R41" s="2511"/>
      <c r="S41" s="2944">
        <f>SUM(S38:S40)</f>
        <v>0</v>
      </c>
      <c r="T41" s="2945"/>
      <c r="U41" s="2511"/>
      <c r="V41" s="638">
        <f>SUM(V38:V40)</f>
        <v>0</v>
      </c>
      <c r="W41" s="4385"/>
      <c r="X41" s="4386"/>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574</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575</v>
      </c>
      <c r="D43" s="1287"/>
      <c r="E43" s="1228"/>
      <c r="F43" s="1228"/>
      <c r="G43" s="3006">
        <f>G28+G36+G41</f>
        <v>10421166</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576</v>
      </c>
      <c r="BA44" s="1281">
        <v>44</v>
      </c>
    </row>
    <row r="45" spans="1:53" s="95" customFormat="1" ht="12" customHeight="1">
      <c r="A45" s="2511"/>
      <c r="B45" s="151" t="s">
        <v>577</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578</v>
      </c>
      <c r="C46" s="2946" t="s">
        <v>543</v>
      </c>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579</v>
      </c>
      <c r="BA47" s="1281">
        <v>47</v>
      </c>
    </row>
    <row r="48" spans="1:53" s="95" customFormat="1" ht="12.75" customHeight="1">
      <c r="A48" s="2511"/>
      <c r="B48" s="1244" t="s">
        <v>580</v>
      </c>
      <c r="C48" s="1245"/>
      <c r="D48" s="2511"/>
      <c r="E48" s="3004" t="s">
        <v>581</v>
      </c>
      <c r="F48" s="2527">
        <f>C49/'Part V-Revenues &amp; Expenses'!$P$65</f>
        <v>173686.1</v>
      </c>
      <c r="G48" s="2528" t="s">
        <v>582</v>
      </c>
      <c r="H48" s="1246"/>
      <c r="I48" s="1246"/>
      <c r="J48" s="2999">
        <f>C49/'Part V-Revenues &amp; Expenses'!$P$67</f>
        <v>173686.1</v>
      </c>
      <c r="K48" s="2999"/>
      <c r="L48" s="1246"/>
      <c r="M48" s="3000" t="s">
        <v>583</v>
      </c>
      <c r="N48" s="3000"/>
      <c r="O48" s="1246"/>
      <c r="P48" s="2999">
        <f>C49/'Part V-Revenues &amp; Expenses'!$K$179</f>
        <v>187.23236134317901</v>
      </c>
      <c r="Q48" s="2999"/>
      <c r="R48" s="1246"/>
      <c r="S48" s="3001" t="s">
        <v>584</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75" customHeight="1">
      <c r="A49" s="2511"/>
      <c r="B49" s="1289" t="s">
        <v>585</v>
      </c>
      <c r="C49" s="1288">
        <f>G28+G36+G41+G46</f>
        <v>10421166</v>
      </c>
      <c r="D49" s="2511"/>
      <c r="E49" s="3005"/>
      <c r="F49" s="2529">
        <f>C49/'Part V-Revenues &amp; Expenses'!$P$170</f>
        <v>194.2109618144207</v>
      </c>
      <c r="G49" s="1247" t="s">
        <v>586</v>
      </c>
      <c r="H49" s="1248"/>
      <c r="I49" s="1248"/>
      <c r="J49" s="2989">
        <f>C49/'Part V-Revenues &amp; Expenses'!$P$172</f>
        <v>194.2109618144207</v>
      </c>
      <c r="K49" s="2989"/>
      <c r="L49" s="1248"/>
      <c r="M49" s="2990" t="s">
        <v>587</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588</v>
      </c>
      <c r="C51" s="2511"/>
      <c r="D51" s="2511"/>
      <c r="E51" s="2511"/>
      <c r="F51" s="2511"/>
      <c r="G51" s="2511"/>
      <c r="H51" s="2511"/>
      <c r="I51" s="2511"/>
      <c r="J51" s="2938" t="s">
        <v>527</v>
      </c>
      <c r="K51" s="2939"/>
      <c r="L51" s="183"/>
      <c r="M51" s="2948" t="s">
        <v>528</v>
      </c>
      <c r="N51" s="2949"/>
      <c r="O51" s="2511"/>
      <c r="P51" s="2938" t="s">
        <v>529</v>
      </c>
      <c r="Q51" s="2939"/>
      <c r="R51" s="2511"/>
      <c r="S51" s="2938" t="s">
        <v>530</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531</v>
      </c>
      <c r="H52" s="2953"/>
      <c r="I52" s="2511"/>
      <c r="J52" s="2940"/>
      <c r="K52" s="2941"/>
      <c r="L52" s="183"/>
      <c r="M52" s="2950"/>
      <c r="N52" s="2951"/>
      <c r="O52" s="2511"/>
      <c r="P52" s="2940"/>
      <c r="Q52" s="2941"/>
      <c r="R52" s="2511"/>
      <c r="S52" s="2940"/>
      <c r="T52" s="2941"/>
      <c r="U52" s="2511"/>
      <c r="V52" s="639"/>
      <c r="W52" s="3003" t="s">
        <v>363</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589</v>
      </c>
      <c r="C54" s="2511"/>
      <c r="D54" s="2511"/>
      <c r="E54" s="2511"/>
      <c r="F54" s="143" t="s">
        <v>590</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591</v>
      </c>
      <c r="D55" s="498" t="s">
        <v>592</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521058.30000000005</v>
      </c>
      <c r="F55" s="1327">
        <f>G55/C49</f>
        <v>4.9999971212434387E-2</v>
      </c>
      <c r="G55" s="2968">
        <v>521058</v>
      </c>
      <c r="H55" s="2969"/>
      <c r="I55" s="2511"/>
      <c r="J55" s="2968">
        <v>521058</v>
      </c>
      <c r="K55" s="2969"/>
      <c r="L55" s="2531"/>
      <c r="M55" s="2968"/>
      <c r="N55" s="2969"/>
      <c r="O55" s="2511"/>
      <c r="P55" s="2968"/>
      <c r="Q55" s="2969"/>
      <c r="R55" s="2511"/>
      <c r="S55" s="2968"/>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75" customHeight="1">
      <c r="A57" s="2511"/>
      <c r="B57" s="1250" t="s">
        <v>593</v>
      </c>
      <c r="C57" s="1245"/>
      <c r="D57" s="2511"/>
      <c r="E57" s="2997" t="s">
        <v>594</v>
      </c>
      <c r="F57" s="2527">
        <f>B58/'Part V-Revenues &amp; Expenses'!$P$65</f>
        <v>182370.4</v>
      </c>
      <c r="G57" s="2528" t="s">
        <v>582</v>
      </c>
      <c r="H57" s="1246"/>
      <c r="I57" s="1246"/>
      <c r="J57" s="2999">
        <f>B58/'Part V-Revenues &amp; Expenses'!$P$67</f>
        <v>182370.4</v>
      </c>
      <c r="K57" s="2999"/>
      <c r="L57" s="1246"/>
      <c r="M57" s="3000" t="s">
        <v>583</v>
      </c>
      <c r="N57" s="3000"/>
      <c r="O57" s="1246"/>
      <c r="P57" s="2999">
        <f>B58/'Part V-Revenues &amp; Expenses'!$K$179</f>
        <v>196.59397402037408</v>
      </c>
      <c r="Q57" s="2999"/>
      <c r="R57" s="1246"/>
      <c r="S57" s="3001" t="s">
        <v>584</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75" customHeight="1">
      <c r="A58" s="2511"/>
      <c r="B58" s="2987">
        <f>C49+G55</f>
        <v>10942224</v>
      </c>
      <c r="C58" s="2988"/>
      <c r="D58" s="2511"/>
      <c r="E58" s="2998"/>
      <c r="F58" s="2529">
        <f>B58/'Part V-Revenues &amp; Expenses'!$P$170</f>
        <v>203.92150431428092</v>
      </c>
      <c r="G58" s="1247" t="s">
        <v>586</v>
      </c>
      <c r="H58" s="1248"/>
      <c r="I58" s="1248"/>
      <c r="J58" s="2989">
        <f>B58/'Part V-Revenues &amp; Expenses'!$P$172</f>
        <v>203.92150431428092</v>
      </c>
      <c r="K58" s="2989"/>
      <c r="L58" s="1248"/>
      <c r="M58" s="2990" t="s">
        <v>587</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595</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596</v>
      </c>
      <c r="C61" s="2511"/>
      <c r="D61" s="2511"/>
      <c r="E61" s="2511"/>
      <c r="F61" s="2511"/>
      <c r="G61" s="4333"/>
      <c r="H61" s="4334"/>
      <c r="I61" s="2511"/>
      <c r="J61" s="4333">
        <f>G61</f>
        <v>0</v>
      </c>
      <c r="K61" s="4334"/>
      <c r="L61" s="2531"/>
      <c r="M61" s="4333"/>
      <c r="N61" s="4334"/>
      <c r="O61" s="2511"/>
      <c r="P61" s="4333"/>
      <c r="Q61" s="4334"/>
      <c r="R61" s="2511"/>
      <c r="S61" s="4333"/>
      <c r="T61" s="4334"/>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597</v>
      </c>
      <c r="C62" s="2511"/>
      <c r="D62" s="2511"/>
      <c r="E62" s="2511"/>
      <c r="F62" s="2511"/>
      <c r="G62" s="2824"/>
      <c r="H62" s="2825"/>
      <c r="I62" s="2511"/>
      <c r="J62" s="2824">
        <f t="shared" ref="J62:J72" si="1">G62</f>
        <v>0</v>
      </c>
      <c r="K62" s="2825"/>
      <c r="L62" s="2531"/>
      <c r="M62" s="2824"/>
      <c r="N62" s="2825"/>
      <c r="O62" s="2511"/>
      <c r="P62" s="2824"/>
      <c r="Q62" s="2825"/>
      <c r="R62" s="2511"/>
      <c r="S62" s="2824"/>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598</v>
      </c>
      <c r="C63" s="2511"/>
      <c r="D63" s="2511"/>
      <c r="E63" s="2511"/>
      <c r="F63" s="2511"/>
      <c r="G63" s="2824">
        <v>143000</v>
      </c>
      <c r="H63" s="2825"/>
      <c r="I63" s="2511"/>
      <c r="J63" s="2824">
        <v>143000</v>
      </c>
      <c r="K63" s="2825"/>
      <c r="L63" s="2531"/>
      <c r="M63" s="2824"/>
      <c r="N63" s="2825"/>
      <c r="O63" s="2511"/>
      <c r="P63" s="2824"/>
      <c r="Q63" s="2825"/>
      <c r="R63" s="2511"/>
      <c r="S63" s="2824"/>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599</v>
      </c>
      <c r="C64" s="2511"/>
      <c r="D64" s="2511"/>
      <c r="E64" s="2511"/>
      <c r="F64" s="2511"/>
      <c r="G64" s="2824">
        <v>1165173</v>
      </c>
      <c r="H64" s="2825"/>
      <c r="I64" s="2511"/>
      <c r="J64" s="2824">
        <v>770225</v>
      </c>
      <c r="K64" s="2825"/>
      <c r="L64" s="2531"/>
      <c r="M64" s="2824"/>
      <c r="N64" s="2825"/>
      <c r="O64" s="2511"/>
      <c r="P64" s="2824"/>
      <c r="Q64" s="2825"/>
      <c r="R64" s="2511"/>
      <c r="S64" s="2824">
        <v>394948</v>
      </c>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600</v>
      </c>
      <c r="C65" s="2511"/>
      <c r="D65" s="2511"/>
      <c r="E65" s="2511"/>
      <c r="F65" s="2511"/>
      <c r="G65" s="2824">
        <v>35000</v>
      </c>
      <c r="H65" s="2825"/>
      <c r="I65" s="2511"/>
      <c r="J65" s="2824">
        <v>35000</v>
      </c>
      <c r="K65" s="2825"/>
      <c r="L65" s="2531"/>
      <c r="M65" s="2824"/>
      <c r="N65" s="2825"/>
      <c r="O65" s="2511"/>
      <c r="P65" s="2824"/>
      <c r="Q65" s="2825"/>
      <c r="R65" s="2511"/>
      <c r="S65" s="2824"/>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601</v>
      </c>
      <c r="BA65" s="1281">
        <v>65</v>
      </c>
    </row>
    <row r="66" spans="1:53" s="95" customFormat="1" ht="12" customHeight="1">
      <c r="A66" s="2511"/>
      <c r="B66" s="2511" t="s">
        <v>602</v>
      </c>
      <c r="C66" s="2511"/>
      <c r="D66" s="2511"/>
      <c r="E66" s="2511"/>
      <c r="F66" s="2511"/>
      <c r="G66" s="2824">
        <v>20000</v>
      </c>
      <c r="H66" s="2825"/>
      <c r="I66" s="2511"/>
      <c r="J66" s="2824">
        <v>20000</v>
      </c>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603</v>
      </c>
      <c r="BA66" s="1281">
        <v>66</v>
      </c>
    </row>
    <row r="67" spans="1:53" s="95" customFormat="1" ht="12" customHeight="1">
      <c r="A67" s="2511"/>
      <c r="B67" s="2511" t="s">
        <v>604</v>
      </c>
      <c r="C67" s="2511"/>
      <c r="D67" s="2511"/>
      <c r="E67" s="2511"/>
      <c r="F67" s="2511"/>
      <c r="G67" s="2824">
        <v>13542</v>
      </c>
      <c r="H67" s="2825"/>
      <c r="I67" s="2511"/>
      <c r="J67" s="2824">
        <v>13542</v>
      </c>
      <c r="K67" s="2825"/>
      <c r="L67" s="2531"/>
      <c r="M67" s="2824"/>
      <c r="N67" s="2825"/>
      <c r="O67" s="2511"/>
      <c r="P67" s="2824"/>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605</v>
      </c>
      <c r="BA67" s="1281">
        <v>67</v>
      </c>
    </row>
    <row r="68" spans="1:53" s="95" customFormat="1" ht="12" customHeight="1">
      <c r="A68" s="2511"/>
      <c r="B68" s="2511" t="s">
        <v>606</v>
      </c>
      <c r="C68" s="2511"/>
      <c r="D68" s="2511"/>
      <c r="E68" s="2511"/>
      <c r="F68" s="2511"/>
      <c r="G68" s="2824">
        <v>94990</v>
      </c>
      <c r="H68" s="2825"/>
      <c r="I68" s="2511"/>
      <c r="J68" s="2824">
        <v>94990</v>
      </c>
      <c r="K68" s="2825"/>
      <c r="L68" s="2531"/>
      <c r="M68" s="2824"/>
      <c r="N68" s="2825"/>
      <c r="O68" s="2511"/>
      <c r="P68" s="2824"/>
      <c r="Q68" s="2825"/>
      <c r="R68" s="2511"/>
      <c r="S68" s="2824"/>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607</v>
      </c>
      <c r="C69" s="2511"/>
      <c r="D69" s="2511"/>
      <c r="E69" s="2511"/>
      <c r="F69" s="2511"/>
      <c r="G69" s="2824">
        <v>15000</v>
      </c>
      <c r="H69" s="2825"/>
      <c r="I69" s="2511"/>
      <c r="J69" s="2824">
        <v>15000</v>
      </c>
      <c r="K69" s="2825"/>
      <c r="L69" s="2531"/>
      <c r="M69" s="2824"/>
      <c r="N69" s="2825"/>
      <c r="O69" s="2511"/>
      <c r="P69" s="2824"/>
      <c r="Q69" s="2825"/>
      <c r="R69" s="2511"/>
      <c r="S69" s="2824"/>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608</v>
      </c>
      <c r="C70" s="2511"/>
      <c r="D70" s="188"/>
      <c r="E70" s="188"/>
      <c r="F70" s="189"/>
      <c r="G70" s="2824">
        <v>67738</v>
      </c>
      <c r="H70" s="2825"/>
      <c r="I70" s="96"/>
      <c r="J70" s="2824">
        <v>67738</v>
      </c>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609</v>
      </c>
      <c r="C71" s="2979" t="s">
        <v>543</v>
      </c>
      <c r="D71" s="2979"/>
      <c r="E71" s="2979"/>
      <c r="F71" s="2980"/>
      <c r="G71" s="2824"/>
      <c r="H71" s="2825"/>
      <c r="I71" s="2511"/>
      <c r="J71" s="2824">
        <f t="shared" si="1"/>
        <v>0</v>
      </c>
      <c r="K71" s="2825"/>
      <c r="L71" s="2531"/>
      <c r="M71" s="2824"/>
      <c r="N71" s="2825"/>
      <c r="O71" s="2511"/>
      <c r="P71" s="2824"/>
      <c r="Q71" s="2825"/>
      <c r="R71" s="2511"/>
      <c r="S71" s="2824"/>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610</v>
      </c>
      <c r="C72" s="2977" t="s">
        <v>543</v>
      </c>
      <c r="D72" s="2977"/>
      <c r="E72" s="2977"/>
      <c r="F72" s="2978"/>
      <c r="G72" s="2822"/>
      <c r="H72" s="2823"/>
      <c r="I72" s="2511"/>
      <c r="J72" s="2822">
        <f t="shared" si="1"/>
        <v>0</v>
      </c>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547</v>
      </c>
      <c r="G73" s="2944">
        <f>SUM(G61:G72)</f>
        <v>1554443</v>
      </c>
      <c r="H73" s="2945"/>
      <c r="I73" s="2511"/>
      <c r="J73" s="2944">
        <f>SUM(J61:J72)</f>
        <v>1159495</v>
      </c>
      <c r="K73" s="2945"/>
      <c r="L73" s="186"/>
      <c r="M73" s="2944">
        <f>SUM(M61:M72)</f>
        <v>0</v>
      </c>
      <c r="N73" s="2945"/>
      <c r="O73" s="2511"/>
      <c r="P73" s="2944">
        <f>SUM(P61:P72)</f>
        <v>0</v>
      </c>
      <c r="Q73" s="2945"/>
      <c r="R73" s="2511"/>
      <c r="S73" s="2944">
        <f>SUM(S61:S72)</f>
        <v>394948</v>
      </c>
      <c r="T73" s="2945"/>
      <c r="U73" s="2511"/>
      <c r="V73" s="4390">
        <f>SUM(V61:V72)</f>
        <v>0</v>
      </c>
      <c r="W73" s="4385"/>
      <c r="X73" s="4386"/>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611</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612</v>
      </c>
      <c r="C75" s="2511"/>
      <c r="D75" s="2511"/>
      <c r="E75" s="2511"/>
      <c r="F75" s="2511"/>
      <c r="G75" s="4333">
        <v>160000</v>
      </c>
      <c r="H75" s="4334"/>
      <c r="I75" s="2511"/>
      <c r="J75" s="4333">
        <v>160000</v>
      </c>
      <c r="K75" s="4334"/>
      <c r="L75" s="2531"/>
      <c r="M75" s="4333"/>
      <c r="N75" s="4334"/>
      <c r="O75" s="2511"/>
      <c r="P75" s="4333"/>
      <c r="Q75" s="4334"/>
      <c r="R75" s="2511"/>
      <c r="S75" s="4333"/>
      <c r="T75" s="4334"/>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613</v>
      </c>
      <c r="C76" s="2511"/>
      <c r="D76" s="2511"/>
      <c r="E76" s="2511"/>
      <c r="F76" s="2511"/>
      <c r="G76" s="2824">
        <v>20000</v>
      </c>
      <c r="H76" s="2825"/>
      <c r="I76" s="2511"/>
      <c r="J76" s="2824">
        <v>20000</v>
      </c>
      <c r="K76" s="2825"/>
      <c r="L76" s="2531"/>
      <c r="M76" s="2824"/>
      <c r="N76" s="2825"/>
      <c r="O76" s="2511"/>
      <c r="P76" s="2824"/>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614</v>
      </c>
      <c r="C77" s="2511"/>
      <c r="D77" s="154"/>
      <c r="E77" s="631"/>
      <c r="F77" s="285"/>
      <c r="G77" s="2824">
        <v>30000</v>
      </c>
      <c r="H77" s="2825"/>
      <c r="I77" s="2511"/>
      <c r="J77" s="2824">
        <v>30000</v>
      </c>
      <c r="K77" s="2825"/>
      <c r="L77" s="2531"/>
      <c r="M77" s="2824"/>
      <c r="N77" s="2825"/>
      <c r="O77" s="2511"/>
      <c r="P77" s="2824"/>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615</v>
      </c>
      <c r="C78" s="2511"/>
      <c r="D78" s="2511"/>
      <c r="E78" s="2511"/>
      <c r="F78" s="2511"/>
      <c r="G78" s="2824"/>
      <c r="H78" s="2825"/>
      <c r="I78" s="2511"/>
      <c r="J78" s="2824">
        <f t="shared" ref="J78" si="2">G78</f>
        <v>0</v>
      </c>
      <c r="K78" s="2825"/>
      <c r="L78" s="2531"/>
      <c r="M78" s="2824"/>
      <c r="N78" s="2825"/>
      <c r="O78" s="2511"/>
      <c r="P78" s="2824"/>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616</v>
      </c>
      <c r="C79" s="2511"/>
      <c r="D79" s="2511"/>
      <c r="E79" s="2511"/>
      <c r="F79" s="2511"/>
      <c r="G79" s="2824">
        <v>7500</v>
      </c>
      <c r="H79" s="2825"/>
      <c r="I79" s="2511"/>
      <c r="J79" s="2824">
        <v>7500</v>
      </c>
      <c r="K79" s="2825"/>
      <c r="L79" s="2531"/>
      <c r="M79" s="2824"/>
      <c r="N79" s="2825"/>
      <c r="O79" s="2511"/>
      <c r="P79" s="2824"/>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617</v>
      </c>
      <c r="BA79" s="1281">
        <v>79</v>
      </c>
    </row>
    <row r="80" spans="1:53" s="95" customFormat="1" ht="12" customHeight="1">
      <c r="A80" s="2511"/>
      <c r="B80" s="2511" t="s">
        <v>618</v>
      </c>
      <c r="C80" s="2511"/>
      <c r="D80" s="2511"/>
      <c r="E80" s="2511"/>
      <c r="F80" s="2511"/>
      <c r="G80" s="2824">
        <v>50000</v>
      </c>
      <c r="H80" s="2825"/>
      <c r="I80" s="2511"/>
      <c r="J80" s="2824">
        <v>50000</v>
      </c>
      <c r="K80" s="2825"/>
      <c r="L80" s="2531"/>
      <c r="M80" s="2824"/>
      <c r="N80" s="2825"/>
      <c r="O80" s="2511"/>
      <c r="P80" s="2824"/>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619</v>
      </c>
      <c r="BA80" s="1281">
        <v>80</v>
      </c>
    </row>
    <row r="81" spans="1:53" s="95" customFormat="1" ht="12" customHeight="1">
      <c r="A81" s="2511"/>
      <c r="B81" s="2511" t="s">
        <v>620</v>
      </c>
      <c r="C81" s="2511"/>
      <c r="D81" s="2511"/>
      <c r="E81" s="2511"/>
      <c r="F81" s="2511"/>
      <c r="G81" s="2824">
        <v>75000</v>
      </c>
      <c r="H81" s="2825"/>
      <c r="I81" s="2511"/>
      <c r="J81" s="2824">
        <v>75000</v>
      </c>
      <c r="K81" s="2825"/>
      <c r="L81" s="2531"/>
      <c r="M81" s="2824"/>
      <c r="N81" s="2825"/>
      <c r="O81" s="2511"/>
      <c r="P81" s="2824"/>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621</v>
      </c>
      <c r="C82" s="2511"/>
      <c r="D82" s="2511"/>
      <c r="E82" s="2511"/>
      <c r="F82" s="2511"/>
      <c r="G82" s="2824">
        <v>81500</v>
      </c>
      <c r="H82" s="2825"/>
      <c r="I82" s="2511"/>
      <c r="J82" s="2824">
        <v>68495</v>
      </c>
      <c r="K82" s="2825"/>
      <c r="L82" s="2531"/>
      <c r="M82" s="2824"/>
      <c r="N82" s="2825"/>
      <c r="O82" s="2511"/>
      <c r="P82" s="2824"/>
      <c r="Q82" s="2825"/>
      <c r="R82" s="2511"/>
      <c r="S82" s="2824">
        <v>13005</v>
      </c>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622</v>
      </c>
      <c r="C83" s="2511"/>
      <c r="D83" s="2511"/>
      <c r="E83" s="2511"/>
      <c r="F83" s="2511"/>
      <c r="G83" s="2824">
        <v>20000</v>
      </c>
      <c r="H83" s="2825"/>
      <c r="I83" s="2511"/>
      <c r="J83" s="2824">
        <v>16000</v>
      </c>
      <c r="K83" s="2825"/>
      <c r="L83" s="2531"/>
      <c r="M83" s="2824"/>
      <c r="N83" s="2825"/>
      <c r="O83" s="2511"/>
      <c r="P83" s="2824"/>
      <c r="Q83" s="2825"/>
      <c r="R83" s="2511"/>
      <c r="S83" s="2824">
        <v>4000</v>
      </c>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623</v>
      </c>
      <c r="C84" s="2511"/>
      <c r="D84" s="2511"/>
      <c r="E84" s="2511"/>
      <c r="F84" s="2511"/>
      <c r="G84" s="2824">
        <v>8500</v>
      </c>
      <c r="H84" s="2825"/>
      <c r="I84" s="2511"/>
      <c r="J84" s="2824">
        <v>8500</v>
      </c>
      <c r="K84" s="2825"/>
      <c r="L84" s="2531"/>
      <c r="M84" s="2824"/>
      <c r="N84" s="2825"/>
      <c r="O84" s="2511"/>
      <c r="P84" s="2824"/>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624</v>
      </c>
      <c r="C85" s="2946" t="s">
        <v>625</v>
      </c>
      <c r="D85" s="2946"/>
      <c r="E85" s="2946"/>
      <c r="F85" s="2947"/>
      <c r="G85" s="2822">
        <v>15000</v>
      </c>
      <c r="H85" s="2823"/>
      <c r="I85" s="2511"/>
      <c r="J85" s="2822">
        <v>15000</v>
      </c>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547</v>
      </c>
      <c r="G86" s="2944">
        <f>SUM(G75:G85)</f>
        <v>467500</v>
      </c>
      <c r="H86" s="2945"/>
      <c r="I86" s="2511"/>
      <c r="J86" s="2944">
        <f>SUM(J75:J85)</f>
        <v>450495</v>
      </c>
      <c r="K86" s="2945"/>
      <c r="L86" s="186"/>
      <c r="M86" s="2944">
        <f>SUM(M75:M85)</f>
        <v>0</v>
      </c>
      <c r="N86" s="2945"/>
      <c r="O86" s="2511"/>
      <c r="P86" s="2944">
        <f>SUM(P75:P85)</f>
        <v>0</v>
      </c>
      <c r="Q86" s="2945"/>
      <c r="R86" s="2511"/>
      <c r="S86" s="2944">
        <f>SUM(S75:S85)</f>
        <v>17005</v>
      </c>
      <c r="T86" s="2945"/>
      <c r="U86" s="2511"/>
      <c r="V86" s="638">
        <f>SUM(V75:V85)</f>
        <v>0</v>
      </c>
      <c r="W86" s="4385"/>
      <c r="X86" s="4386"/>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626</v>
      </c>
      <c r="BA86" s="1281">
        <v>86</v>
      </c>
    </row>
    <row r="87" spans="1:53" ht="12" customHeight="1">
      <c r="A87" s="2511"/>
      <c r="B87" s="151" t="s">
        <v>627</v>
      </c>
      <c r="C87" s="2511"/>
      <c r="D87" s="520" t="s">
        <v>628</v>
      </c>
      <c r="E87" s="578">
        <f>G92/'Part V-Revenues &amp; Expenses'!$P$67</f>
        <v>1341.25</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629</v>
      </c>
      <c r="C88" s="2511"/>
      <c r="D88" s="2511"/>
      <c r="E88" s="2511"/>
      <c r="F88" s="2511"/>
      <c r="G88" s="4333">
        <f>10735+3200+500</f>
        <v>14435</v>
      </c>
      <c r="H88" s="4334"/>
      <c r="I88" s="2511"/>
      <c r="J88" s="4333">
        <v>14435</v>
      </c>
      <c r="K88" s="4334"/>
      <c r="L88" s="2531"/>
      <c r="M88" s="4333"/>
      <c r="N88" s="4334"/>
      <c r="O88" s="2511"/>
      <c r="P88" s="4333"/>
      <c r="Q88" s="4334"/>
      <c r="R88" s="2511"/>
      <c r="S88" s="4333"/>
      <c r="T88" s="4334"/>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630</v>
      </c>
      <c r="C89" s="2511"/>
      <c r="D89" s="2511"/>
      <c r="E89" s="2511"/>
      <c r="F89" s="2511"/>
      <c r="G89" s="2824">
        <v>500</v>
      </c>
      <c r="H89" s="2825"/>
      <c r="I89" s="2511"/>
      <c r="J89" s="2824">
        <v>500</v>
      </c>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631</v>
      </c>
      <c r="C90" s="2511"/>
      <c r="D90" s="192" t="s">
        <v>632</v>
      </c>
      <c r="E90" s="4391" t="s">
        <v>57</v>
      </c>
      <c r="F90" s="2511"/>
      <c r="G90" s="2824"/>
      <c r="H90" s="2825"/>
      <c r="I90" s="96"/>
      <c r="J90" s="2824">
        <f t="shared" ref="J90" si="3">G90</f>
        <v>0</v>
      </c>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633</v>
      </c>
      <c r="C91" s="2511"/>
      <c r="D91" s="192" t="s">
        <v>632</v>
      </c>
      <c r="E91" s="649" t="s">
        <v>57</v>
      </c>
      <c r="F91" s="2511"/>
      <c r="G91" s="2822">
        <v>65540</v>
      </c>
      <c r="H91" s="2823"/>
      <c r="I91" s="96"/>
      <c r="J91" s="2822">
        <v>65540</v>
      </c>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547</v>
      </c>
      <c r="G92" s="2944">
        <f>SUM(G88:G91)</f>
        <v>80475</v>
      </c>
      <c r="H92" s="2945"/>
      <c r="I92" s="2511"/>
      <c r="J92" s="2944">
        <f>SUM(J88:J91)</f>
        <v>80475</v>
      </c>
      <c r="K92" s="2945"/>
      <c r="L92" s="186"/>
      <c r="M92" s="2944">
        <f>SUM(M88:M91)</f>
        <v>0</v>
      </c>
      <c r="N92" s="2945"/>
      <c r="O92" s="2511"/>
      <c r="P92" s="2944">
        <f>SUM(P88:P91)</f>
        <v>0</v>
      </c>
      <c r="Q92" s="2945"/>
      <c r="R92" s="2511"/>
      <c r="S92" s="2944">
        <f>SUM(S88:S91)</f>
        <v>0</v>
      </c>
      <c r="T92" s="2945"/>
      <c r="U92" s="2511"/>
      <c r="V92" s="638">
        <f>SUM(V88:V91)</f>
        <v>0</v>
      </c>
      <c r="W92" s="4385"/>
      <c r="X92" s="4386"/>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634</v>
      </c>
      <c r="C94" s="2511"/>
      <c r="D94" s="2511"/>
      <c r="E94" s="2511"/>
      <c r="F94" s="2511"/>
      <c r="G94" s="2511"/>
      <c r="H94" s="2511"/>
      <c r="I94" s="2511"/>
      <c r="J94" s="2938" t="s">
        <v>527</v>
      </c>
      <c r="K94" s="2939"/>
      <c r="L94" s="183"/>
      <c r="M94" s="2948" t="s">
        <v>528</v>
      </c>
      <c r="N94" s="2949"/>
      <c r="O94" s="2511"/>
      <c r="P94" s="2938" t="s">
        <v>529</v>
      </c>
      <c r="Q94" s="2939"/>
      <c r="R94" s="2511"/>
      <c r="S94" s="2938" t="s">
        <v>530</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531</v>
      </c>
      <c r="H95" s="2953"/>
      <c r="I95" s="2511"/>
      <c r="J95" s="2940"/>
      <c r="K95" s="2941"/>
      <c r="L95" s="183"/>
      <c r="M95" s="2950"/>
      <c r="N95" s="2951"/>
      <c r="O95" s="2511"/>
      <c r="P95" s="2940"/>
      <c r="Q95" s="2941"/>
      <c r="R95" s="2511"/>
      <c r="S95" s="2940"/>
      <c r="T95" s="2941"/>
      <c r="U95" s="2511"/>
      <c r="V95" s="159" t="s">
        <v>363</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635</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636</v>
      </c>
      <c r="BA96" s="1281">
        <v>96</v>
      </c>
    </row>
    <row r="97" spans="1:53" s="95" customFormat="1" ht="12" customHeight="1">
      <c r="A97" s="2511"/>
      <c r="B97" s="2511" t="s">
        <v>637</v>
      </c>
      <c r="C97" s="2511"/>
      <c r="D97" s="2511"/>
      <c r="E97" s="2511"/>
      <c r="F97" s="2511"/>
      <c r="G97" s="4333">
        <f>63250+5000</f>
        <v>68250</v>
      </c>
      <c r="H97" s="4334"/>
      <c r="I97" s="2511"/>
      <c r="J97" s="2976"/>
      <c r="K97" s="2976"/>
      <c r="L97" s="2531"/>
      <c r="M97" s="2976"/>
      <c r="N97" s="2976"/>
      <c r="O97" s="2511"/>
      <c r="P97" s="2976"/>
      <c r="Q97" s="2976"/>
      <c r="R97" s="2511"/>
      <c r="S97" s="4333">
        <v>68250</v>
      </c>
      <c r="T97" s="4334"/>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638</v>
      </c>
      <c r="BA97" s="1281">
        <v>97</v>
      </c>
    </row>
    <row r="98" spans="1:53" s="95" customFormat="1" ht="12" customHeight="1">
      <c r="A98" s="2511"/>
      <c r="B98" s="2511" t="s">
        <v>639</v>
      </c>
      <c r="C98" s="2511"/>
      <c r="D98" s="2511"/>
      <c r="E98" s="2511"/>
      <c r="F98" s="2511"/>
      <c r="G98" s="2824">
        <v>35000</v>
      </c>
      <c r="H98" s="2825"/>
      <c r="I98" s="2511"/>
      <c r="J98" s="2976"/>
      <c r="K98" s="2976"/>
      <c r="L98" s="2531"/>
      <c r="M98" s="2976"/>
      <c r="N98" s="2976"/>
      <c r="O98" s="2511"/>
      <c r="P98" s="2976"/>
      <c r="Q98" s="2976"/>
      <c r="R98" s="2511"/>
      <c r="S98" s="2824">
        <v>35000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607</v>
      </c>
      <c r="C99" s="2511"/>
      <c r="D99" s="2511"/>
      <c r="E99" s="2511"/>
      <c r="F99" s="2511"/>
      <c r="G99" s="2824">
        <v>65000</v>
      </c>
      <c r="H99" s="2825"/>
      <c r="I99" s="2511"/>
      <c r="J99" s="2976"/>
      <c r="K99" s="2976"/>
      <c r="L99" s="2531"/>
      <c r="M99" s="2976"/>
      <c r="N99" s="2976"/>
      <c r="O99" s="2511"/>
      <c r="P99" s="2976"/>
      <c r="Q99" s="2976"/>
      <c r="R99" s="2511"/>
      <c r="S99" s="2824">
        <v>65000</v>
      </c>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640</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641</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642</v>
      </c>
      <c r="C102" s="2946"/>
      <c r="D102" s="2946"/>
      <c r="E102" s="2946"/>
      <c r="F102" s="2947"/>
      <c r="G102" s="2822">
        <v>0</v>
      </c>
      <c r="H102" s="2823"/>
      <c r="I102" s="2511"/>
      <c r="J102" s="2976"/>
      <c r="K102" s="2976"/>
      <c r="L102" s="2531"/>
      <c r="M102" s="2976"/>
      <c r="N102" s="2976"/>
      <c r="O102" s="2511"/>
      <c r="P102" s="2976"/>
      <c r="Q102" s="2976"/>
      <c r="R102" s="2511"/>
      <c r="S102" s="2822"/>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547</v>
      </c>
      <c r="G103" s="2944">
        <f>SUM(G97:G102)</f>
        <v>168250</v>
      </c>
      <c r="H103" s="2945"/>
      <c r="I103" s="2511"/>
      <c r="J103" s="2976"/>
      <c r="K103" s="2976"/>
      <c r="L103" s="186"/>
      <c r="M103" s="2976"/>
      <c r="N103" s="2976"/>
      <c r="O103" s="2511"/>
      <c r="P103" s="2976"/>
      <c r="Q103" s="2976"/>
      <c r="R103" s="2511"/>
      <c r="S103" s="2944">
        <f>SUM(S97:S102)</f>
        <v>168250</v>
      </c>
      <c r="T103" s="2945"/>
      <c r="U103" s="2511"/>
      <c r="V103" s="638">
        <f>SUM(V97:V102)</f>
        <v>0</v>
      </c>
      <c r="W103" s="4385"/>
      <c r="X103" s="4386"/>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5" customHeight="1">
      <c r="A104" s="2511"/>
      <c r="B104" s="151" t="s">
        <v>643</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644</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75" customHeight="1">
      <c r="A105" s="2511"/>
      <c r="B105" s="2511" t="s">
        <v>645</v>
      </c>
      <c r="C105" s="2511"/>
      <c r="D105" s="2511"/>
      <c r="E105" s="2511"/>
      <c r="F105" s="2511"/>
      <c r="G105" s="4333"/>
      <c r="H105" s="4334"/>
      <c r="I105" s="2511"/>
      <c r="J105" s="186"/>
      <c r="K105" s="186"/>
      <c r="L105" s="2531"/>
      <c r="M105" s="186"/>
      <c r="N105" s="186"/>
      <c r="O105" s="2511"/>
      <c r="P105" s="186"/>
      <c r="Q105" s="186"/>
      <c r="R105" s="2511"/>
      <c r="S105" s="4333">
        <f>G105</f>
        <v>0</v>
      </c>
      <c r="T105" s="4334"/>
      <c r="U105" s="2511"/>
      <c r="V105" s="636"/>
      <c r="W105" s="2878"/>
      <c r="X105" s="2879"/>
      <c r="Y105" s="2986" t="s">
        <v>646</v>
      </c>
      <c r="Z105" s="2511"/>
      <c r="AA105" s="146" t="s">
        <v>647</v>
      </c>
      <c r="AB105" s="98"/>
      <c r="AC105" s="98"/>
      <c r="AD105" s="1490" t="str">
        <f>'Part V-Revenues &amp; Expenses'!$O$53</f>
        <v>40% of Units at 60% of AMI</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75"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648</v>
      </c>
      <c r="AB106" s="1492"/>
      <c r="AC106" s="1492"/>
      <c r="AD106" s="1493">
        <f>'Part V-Revenues &amp; Expenses'!$P$67</f>
        <v>60</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649</v>
      </c>
      <c r="BA106" s="1281">
        <v>106</v>
      </c>
    </row>
    <row r="107" spans="1:53" s="95" customFormat="1" ht="12.75" customHeight="1">
      <c r="A107" s="2511"/>
      <c r="B107" s="2511" t="s">
        <v>650</v>
      </c>
      <c r="C107" s="2511"/>
      <c r="D107" s="2511"/>
      <c r="E107" s="2511"/>
      <c r="F107" s="2511"/>
      <c r="G107" s="2824"/>
      <c r="H107" s="2825"/>
      <c r="I107" s="2511"/>
      <c r="J107" s="186"/>
      <c r="K107" s="186"/>
      <c r="L107" s="193"/>
      <c r="M107" s="186"/>
      <c r="N107" s="186"/>
      <c r="O107" s="2511"/>
      <c r="P107" s="186"/>
      <c r="Q107" s="186"/>
      <c r="R107" s="2511"/>
      <c r="S107" s="2824"/>
      <c r="T107" s="2825"/>
      <c r="U107" s="2511"/>
      <c r="V107" s="636"/>
      <c r="W107" s="2878"/>
      <c r="X107" s="2879"/>
      <c r="Y107" s="2986"/>
      <c r="Z107" s="203"/>
      <c r="AA107" s="137" t="s">
        <v>651</v>
      </c>
      <c r="AB107" s="98"/>
      <c r="AC107" s="98"/>
      <c r="AD107" s="98"/>
      <c r="AE107" s="2511"/>
      <c r="AF107" s="1495" t="s">
        <v>652</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653</v>
      </c>
      <c r="BA107" s="1281">
        <v>107</v>
      </c>
    </row>
    <row r="108" spans="1:53" s="95" customFormat="1" ht="12.75" customHeight="1">
      <c r="A108" s="2511"/>
      <c r="B108" s="2511" t="s">
        <v>654</v>
      </c>
      <c r="C108" s="2511"/>
      <c r="D108" s="2511"/>
      <c r="E108" s="2981">
        <f>ROUNDUP('DCA Underwriting Assumptions'!$Q$70*J191,0)</f>
        <v>92924</v>
      </c>
      <c r="F108" s="2982"/>
      <c r="G108" s="2824">
        <v>92924</v>
      </c>
      <c r="H108" s="2825"/>
      <c r="I108" s="2511"/>
      <c r="J108" s="579" t="str">
        <f>IF(E108&gt;G108,"WARNING!  LIHTC Allocation Fee proposed is below minimum required.","")</f>
        <v/>
      </c>
      <c r="K108" s="186"/>
      <c r="L108" s="2531"/>
      <c r="M108" s="186"/>
      <c r="N108" s="186"/>
      <c r="O108" s="2511"/>
      <c r="P108" s="186"/>
      <c r="Q108" s="186"/>
      <c r="R108" s="2511"/>
      <c r="S108" s="2824">
        <v>92924</v>
      </c>
      <c r="T108" s="2825"/>
      <c r="U108" s="2511"/>
      <c r="V108" s="636"/>
      <c r="W108" s="2878"/>
      <c r="X108" s="2879"/>
      <c r="Y108" s="2986"/>
      <c r="Z108" s="203"/>
      <c r="AA108" s="98" t="s">
        <v>655</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656</v>
      </c>
      <c r="BA108" s="1281">
        <v>108</v>
      </c>
    </row>
    <row r="109" spans="1:53" s="95" customFormat="1" ht="12.75" customHeight="1">
      <c r="A109" s="2511"/>
      <c r="B109" s="2511" t="s">
        <v>657</v>
      </c>
      <c r="C109" s="2511"/>
      <c r="D109" s="2511"/>
      <c r="E109" s="2981">
        <f>AF111+AF115</f>
        <v>48000</v>
      </c>
      <c r="F109" s="2982"/>
      <c r="G109" s="2824">
        <v>48000</v>
      </c>
      <c r="H109" s="2825"/>
      <c r="I109" s="2983" t="str">
        <f>IF(E109&gt;G109,"WARNING!  LIHTC Compliance Fee proposed is below minimum required.","")</f>
        <v/>
      </c>
      <c r="J109" s="2984"/>
      <c r="K109" s="2984"/>
      <c r="L109" s="2984"/>
      <c r="M109" s="2984"/>
      <c r="N109" s="2984"/>
      <c r="O109" s="2984"/>
      <c r="P109" s="2984"/>
      <c r="Q109" s="2984"/>
      <c r="R109" s="2985"/>
      <c r="S109" s="2824">
        <v>48000</v>
      </c>
      <c r="T109" s="2825"/>
      <c r="U109" s="2511"/>
      <c r="V109" s="636"/>
      <c r="W109" s="2878"/>
      <c r="X109" s="2879"/>
      <c r="Y109" s="2986"/>
      <c r="Z109" s="203"/>
      <c r="AA109" s="98" t="s">
        <v>658</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75" customHeight="1">
      <c r="A110" s="2511"/>
      <c r="B110" s="2511" t="s">
        <v>659</v>
      </c>
      <c r="C110" s="2511"/>
      <c r="D110" s="2511"/>
      <c r="E110" s="2511"/>
      <c r="F110" s="730"/>
      <c r="G110" s="2824">
        <v>3500</v>
      </c>
      <c r="H110" s="2825"/>
      <c r="I110" s="2983"/>
      <c r="J110" s="2984"/>
      <c r="K110" s="2984"/>
      <c r="L110" s="2984"/>
      <c r="M110" s="2984"/>
      <c r="N110" s="2984"/>
      <c r="O110" s="2984"/>
      <c r="P110" s="2984"/>
      <c r="Q110" s="2984"/>
      <c r="R110" s="2985"/>
      <c r="S110" s="2824">
        <v>3500</v>
      </c>
      <c r="T110" s="2825"/>
      <c r="U110" s="2511"/>
      <c r="V110" s="636"/>
      <c r="W110" s="2878"/>
      <c r="X110" s="2879"/>
      <c r="Y110" s="2986"/>
      <c r="Z110" s="2511"/>
      <c r="AA110" s="98" t="s">
        <v>660</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75" customHeight="1">
      <c r="A111" s="2511"/>
      <c r="B111" s="2511" t="s">
        <v>661</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662</v>
      </c>
      <c r="AC111" s="98"/>
      <c r="AD111" s="4392">
        <f>SUM(AD108:AD110)</f>
        <v>0</v>
      </c>
      <c r="AE111" s="2511"/>
      <c r="AF111" s="4393">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75" customHeight="1">
      <c r="A112" s="205" t="str">
        <f>IF(AND(G112&gt;0,OR(C112="",C112="&lt;Enter detailed description here; use Comments section if needed&gt;")),"X","")</f>
        <v/>
      </c>
      <c r="B112" s="98" t="s">
        <v>663</v>
      </c>
      <c r="C112" s="2979" t="s">
        <v>543</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664</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75" customHeight="1" thickBot="1">
      <c r="A113" s="205" t="str">
        <f>IF(AND(G113&gt;0,OR(C113="",C113="&lt;Enter detailed description here; use Comments section if needed&gt;")),"X","")</f>
        <v/>
      </c>
      <c r="B113" s="98" t="s">
        <v>663</v>
      </c>
      <c r="C113" s="2977" t="s">
        <v>543</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665</v>
      </c>
      <c r="AB113" s="98"/>
      <c r="AC113" s="143"/>
      <c r="AD113" s="2603">
        <f>'Part V-Revenues &amp; Expenses'!$P$131</f>
        <v>60</v>
      </c>
      <c r="AE113" s="2511"/>
      <c r="AF113" s="1494">
        <f>IF($AD$105="Income Averaging",AD113*'DCA Underwriting Assumptions'!$Q$75,AD113*'DCA Underwriting Assumptions'!$Q$74)</f>
        <v>48000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666</v>
      </c>
      <c r="BA113" s="1281">
        <v>113</v>
      </c>
    </row>
    <row r="114" spans="1:53" s="95" customFormat="1" ht="12.75" customHeight="1" thickTop="1">
      <c r="A114" s="2511"/>
      <c r="B114" s="2511"/>
      <c r="C114" s="2511"/>
      <c r="D114" s="2511"/>
      <c r="E114" s="2511"/>
      <c r="F114" s="184" t="s">
        <v>547</v>
      </c>
      <c r="G114" s="2944">
        <f>SUM(G105:G113)</f>
        <v>162424</v>
      </c>
      <c r="H114" s="2945"/>
      <c r="I114" s="2511"/>
      <c r="J114" s="186"/>
      <c r="K114" s="186"/>
      <c r="L114" s="2531"/>
      <c r="M114" s="186"/>
      <c r="N114" s="186"/>
      <c r="O114" s="2511"/>
      <c r="P114" s="186"/>
      <c r="Q114" s="186"/>
      <c r="R114" s="2511"/>
      <c r="S114" s="2944">
        <f>SUM(S105:S113)</f>
        <v>162424</v>
      </c>
      <c r="T114" s="2945"/>
      <c r="U114" s="2511"/>
      <c r="V114" s="638">
        <f>SUM(V105:V113)</f>
        <v>0</v>
      </c>
      <c r="W114" s="2907"/>
      <c r="X114" s="2908"/>
      <c r="Y114" s="2511"/>
      <c r="Z114" s="2511"/>
      <c r="AA114" s="98" t="s">
        <v>667</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668</v>
      </c>
      <c r="BA114" s="1281">
        <v>114</v>
      </c>
    </row>
    <row r="115" spans="1:53" s="95" customFormat="1" ht="13.5" customHeight="1">
      <c r="A115" s="2511"/>
      <c r="B115" s="151" t="s">
        <v>669</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662</v>
      </c>
      <c r="AC115" s="98"/>
      <c r="AD115" s="4392">
        <f>SUM(AD113:AD114)</f>
        <v>60</v>
      </c>
      <c r="AE115" s="2511"/>
      <c r="AF115" s="4393">
        <f>SUM(AF113:AF114)</f>
        <v>48000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75" customHeight="1">
      <c r="A116" s="2511"/>
      <c r="B116" s="2511" t="s">
        <v>670</v>
      </c>
      <c r="C116" s="2511"/>
      <c r="D116" s="2511"/>
      <c r="E116" s="2511"/>
      <c r="F116" s="2511"/>
      <c r="G116" s="4333">
        <v>5000</v>
      </c>
      <c r="H116" s="4334"/>
      <c r="I116" s="2511"/>
      <c r="J116" s="2976"/>
      <c r="K116" s="2976"/>
      <c r="L116" s="2531"/>
      <c r="M116" s="2976"/>
      <c r="N116" s="2976"/>
      <c r="O116" s="2511"/>
      <c r="P116" s="2976"/>
      <c r="Q116" s="2976"/>
      <c r="R116" s="2511"/>
      <c r="S116" s="4333">
        <v>5000</v>
      </c>
      <c r="T116" s="4334"/>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75" customHeight="1">
      <c r="A117" s="2511"/>
      <c r="B117" s="2511" t="s">
        <v>671</v>
      </c>
      <c r="C117" s="2511"/>
      <c r="D117" s="2511"/>
      <c r="E117" s="2511"/>
      <c r="F117" s="2511"/>
      <c r="G117" s="2824"/>
      <c r="H117" s="2825"/>
      <c r="I117" s="2511"/>
      <c r="J117" s="2976"/>
      <c r="K117" s="2976"/>
      <c r="L117" s="2531"/>
      <c r="M117" s="2976"/>
      <c r="N117" s="2976"/>
      <c r="O117" s="2511"/>
      <c r="P117" s="2976"/>
      <c r="Q117" s="2976"/>
      <c r="R117" s="2511"/>
      <c r="S117" s="2824"/>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75" customHeight="1">
      <c r="A118" s="2511"/>
      <c r="B118" s="2511" t="s">
        <v>672</v>
      </c>
      <c r="C118" s="2511"/>
      <c r="D118" s="2511"/>
      <c r="E118" s="2511"/>
      <c r="F118" s="2511"/>
      <c r="G118" s="2824">
        <v>50000</v>
      </c>
      <c r="H118" s="2825"/>
      <c r="I118" s="2511"/>
      <c r="J118" s="2976"/>
      <c r="K118" s="2976"/>
      <c r="L118" s="2531"/>
      <c r="M118" s="2976"/>
      <c r="N118" s="2976"/>
      <c r="O118" s="2511"/>
      <c r="P118" s="2976"/>
      <c r="Q118" s="2976"/>
      <c r="R118" s="2511"/>
      <c r="S118" s="2824">
        <v>50000</v>
      </c>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75" customHeight="1" thickBot="1">
      <c r="A119" s="205" t="str">
        <f>IF(AND(G119&gt;0,OR(C119="",C119="&lt;Enter detailed description here; use Comments section if needed&gt;")),"X","")</f>
        <v/>
      </c>
      <c r="B119" s="98" t="s">
        <v>663</v>
      </c>
      <c r="C119" s="2946" t="s">
        <v>543</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75" customHeight="1" thickTop="1">
      <c r="A120" s="2511"/>
      <c r="B120" s="2511"/>
      <c r="C120" s="2511"/>
      <c r="D120" s="2511"/>
      <c r="E120" s="2511"/>
      <c r="F120" s="184" t="s">
        <v>547</v>
      </c>
      <c r="G120" s="2944">
        <f>SUM(G116:G119)</f>
        <v>55000</v>
      </c>
      <c r="H120" s="2945"/>
      <c r="I120" s="2511"/>
      <c r="J120" s="2976"/>
      <c r="K120" s="2976"/>
      <c r="L120" s="2531"/>
      <c r="M120" s="2976"/>
      <c r="N120" s="2976"/>
      <c r="O120" s="2511"/>
      <c r="P120" s="2976"/>
      <c r="Q120" s="2976"/>
      <c r="R120" s="2511"/>
      <c r="S120" s="2944">
        <f>SUM(S116:S119)</f>
        <v>55000</v>
      </c>
      <c r="T120" s="2945"/>
      <c r="U120" s="2511"/>
      <c r="V120" s="638">
        <f>SUM(V116:V119)</f>
        <v>0</v>
      </c>
      <c r="W120" s="4385"/>
      <c r="X120" s="4386"/>
      <c r="Y120" s="2511"/>
      <c r="Z120" s="2511"/>
      <c r="AA120" s="2511"/>
      <c r="AB120" s="2511"/>
      <c r="AC120" s="2970" t="s">
        <v>673</v>
      </c>
      <c r="AD120" s="2970" t="s">
        <v>674</v>
      </c>
      <c r="AE120" s="2972" t="s">
        <v>675</v>
      </c>
      <c r="AF120" s="2973" t="s">
        <v>676</v>
      </c>
      <c r="AG120" s="2972" t="s">
        <v>677</v>
      </c>
      <c r="AH120" s="2975" t="s">
        <v>678</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5" customHeight="1">
      <c r="A121" s="2511"/>
      <c r="B121" s="151" t="s">
        <v>679</v>
      </c>
      <c r="C121" s="2511"/>
      <c r="D121" s="2511"/>
      <c r="E121" s="351" t="s">
        <v>644</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680</v>
      </c>
      <c r="Z121" s="146"/>
      <c r="AA121" s="143" t="s">
        <v>681</v>
      </c>
      <c r="AB121" s="143" t="s">
        <v>682</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683</v>
      </c>
      <c r="BA121" s="1281">
        <v>121</v>
      </c>
    </row>
    <row r="122" spans="1:53" s="95" customFormat="1" ht="12.75" customHeight="1">
      <c r="A122" s="2511"/>
      <c r="B122" s="2511" t="s">
        <v>684</v>
      </c>
      <c r="C122" s="2511"/>
      <c r="D122" s="2511"/>
      <c r="E122" s="2511"/>
      <c r="F122" s="223">
        <f>IF($G$127=0,0,G122/$G$127)</f>
        <v>0.39247648902821319</v>
      </c>
      <c r="G122" s="2967">
        <v>626000</v>
      </c>
      <c r="H122" s="2967"/>
      <c r="I122" s="2511"/>
      <c r="J122" s="2968">
        <v>626000</v>
      </c>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1375000</v>
      </c>
      <c r="AF122" s="2956">
        <f>SUM(AE122:AE124)</f>
        <v>1595000</v>
      </c>
      <c r="AG122" s="2964">
        <f>'DCA Underwriting Assumptions'!$Q$89</f>
        <v>2285000</v>
      </c>
      <c r="AH122" s="2959">
        <f>MIN(AF122,AG122)</f>
        <v>1595000</v>
      </c>
      <c r="AI122" s="4394"/>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75" customHeight="1">
      <c r="A123" s="2511"/>
      <c r="B123" s="2511" t="s">
        <v>685</v>
      </c>
      <c r="C123" s="2511"/>
      <c r="D123" s="2511"/>
      <c r="E123" s="2511"/>
      <c r="F123" s="710">
        <v>626000</v>
      </c>
      <c r="G123" s="150" t="s">
        <v>686</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75" customHeight="1">
      <c r="A124" s="2511"/>
      <c r="B124" s="2511" t="s">
        <v>687</v>
      </c>
      <c r="C124" s="2511"/>
      <c r="D124" s="2511"/>
      <c r="E124" s="2511"/>
      <c r="F124" s="223">
        <f>IF($G$127=0,0,G124/$G$127)</f>
        <v>0</v>
      </c>
      <c r="G124" s="4333"/>
      <c r="H124" s="4334"/>
      <c r="I124" s="2511"/>
      <c r="J124" s="4333"/>
      <c r="K124" s="4334"/>
      <c r="L124" s="2531"/>
      <c r="M124" s="4333"/>
      <c r="N124" s="4334"/>
      <c r="O124" s="2511"/>
      <c r="P124" s="4333"/>
      <c r="Q124" s="4334"/>
      <c r="R124" s="2511"/>
      <c r="S124" s="4333"/>
      <c r="T124" s="4334"/>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75" customHeight="1">
      <c r="A125" s="2511"/>
      <c r="B125" s="2511" t="s">
        <v>688</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1375000</v>
      </c>
      <c r="AF125" s="2956">
        <f>SUM(AE125:AE127)</f>
        <v>1595000</v>
      </c>
      <c r="AG125" s="2956">
        <f>'DCA Underwriting Assumptions'!$Q$90</f>
        <v>4000000</v>
      </c>
      <c r="AH125" s="2959">
        <f>MIN(AF125,AG125)</f>
        <v>1595000</v>
      </c>
      <c r="AI125" s="4394"/>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75" customHeight="1" thickBot="1">
      <c r="A126" s="2511"/>
      <c r="B126" s="2511" t="s">
        <v>689</v>
      </c>
      <c r="C126" s="2511"/>
      <c r="D126" s="2511"/>
      <c r="E126" s="2511"/>
      <c r="F126" s="223">
        <f>IF($G$127=0,0,G126/$G$127)</f>
        <v>0.60752351097178681</v>
      </c>
      <c r="G126" s="2822">
        <v>969000</v>
      </c>
      <c r="H126" s="2823"/>
      <c r="I126" s="2511"/>
      <c r="J126" s="2822">
        <v>969000</v>
      </c>
      <c r="K126" s="2823"/>
      <c r="L126" s="2531"/>
      <c r="M126" s="2822"/>
      <c r="N126" s="2823"/>
      <c r="O126" s="2511"/>
      <c r="P126" s="2822"/>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75" customHeight="1" thickTop="1">
      <c r="A127" s="955" t="str">
        <f>IF(G127&gt;E127,"DF over limit!  Round down/Enter nbr.","")</f>
        <v/>
      </c>
      <c r="B127" s="1510"/>
      <c r="C127" s="2511"/>
      <c r="D127" s="351" t="s">
        <v>690</v>
      </c>
      <c r="E127" s="1511">
        <f>IF(AF122+AF125=0,"Fill in Rent Chart!",IF(F121="9%",AH122,IF(F121="4%",AH125,"Select App Type!")))</f>
        <v>1595000</v>
      </c>
      <c r="F127" s="184" t="s">
        <v>547</v>
      </c>
      <c r="G127" s="2944">
        <f>SUM(G122:G126)</f>
        <v>1595000</v>
      </c>
      <c r="H127" s="2945"/>
      <c r="I127" s="2511"/>
      <c r="J127" s="2944">
        <f>SUM(J122:J126)</f>
        <v>1595000</v>
      </c>
      <c r="K127" s="2945"/>
      <c r="L127" s="2531"/>
      <c r="M127" s="2944">
        <f>SUM(M122:M126)</f>
        <v>0</v>
      </c>
      <c r="N127" s="2945"/>
      <c r="O127" s="2511"/>
      <c r="P127" s="2944">
        <f>SUM(P122:P126)</f>
        <v>0</v>
      </c>
      <c r="Q127" s="2945"/>
      <c r="R127" s="2511"/>
      <c r="S127" s="2944">
        <f>SUM(S122:S126)</f>
        <v>0</v>
      </c>
      <c r="T127" s="2945"/>
      <c r="U127" s="2511"/>
      <c r="V127" s="638">
        <f>SUM(V122:V126)</f>
        <v>0</v>
      </c>
      <c r="W127" s="4385"/>
      <c r="X127" s="4386"/>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5" customHeight="1">
      <c r="A128" s="2511"/>
      <c r="B128" s="151" t="s">
        <v>691</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692</v>
      </c>
      <c r="BA128" s="1281">
        <v>128</v>
      </c>
    </row>
    <row r="129" spans="1:53" s="95" customFormat="1" ht="12.75" customHeight="1">
      <c r="A129" s="2511"/>
      <c r="B129" s="2511" t="s">
        <v>693</v>
      </c>
      <c r="C129" s="2511"/>
      <c r="D129" s="2511"/>
      <c r="E129" s="2511"/>
      <c r="F129" s="2511"/>
      <c r="G129" s="4333">
        <v>50000</v>
      </c>
      <c r="H129" s="4334"/>
      <c r="I129" s="2511"/>
      <c r="J129" s="194"/>
      <c r="K129" s="194"/>
      <c r="L129" s="194"/>
      <c r="M129" s="194"/>
      <c r="N129" s="194"/>
      <c r="O129" s="2511"/>
      <c r="P129" s="194"/>
      <c r="Q129" s="194"/>
      <c r="R129" s="2511"/>
      <c r="S129" s="4333">
        <v>50000</v>
      </c>
      <c r="T129" s="4334"/>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694</v>
      </c>
      <c r="BA129" s="1281">
        <v>129</v>
      </c>
    </row>
    <row r="130" spans="1:53" s="95" customFormat="1" ht="12.75" customHeight="1">
      <c r="A130" s="2511"/>
      <c r="B130" s="2511" t="s">
        <v>695</v>
      </c>
      <c r="C130" s="2511"/>
      <c r="D130" s="2511"/>
      <c r="E130" s="2511"/>
      <c r="F130" s="259">
        <f>+'Part V-Revenues &amp; Expenses'!$Q$232*('DCA Underwriting Assumptions'!$Q$104/12)</f>
        <v>75666</v>
      </c>
      <c r="G130" s="2824">
        <v>75666</v>
      </c>
      <c r="H130" s="2825"/>
      <c r="I130" s="2511"/>
      <c r="J130" s="580" t="str">
        <f>IF(E130&gt;G130,"WARNING! Rent-Up Reserves proposed is below minimum - add comment.","")</f>
        <v/>
      </c>
      <c r="K130" s="580"/>
      <c r="L130" s="2531"/>
      <c r="M130" s="568"/>
      <c r="N130" s="568"/>
      <c r="O130" s="2511"/>
      <c r="P130" s="568"/>
      <c r="Q130" s="568"/>
      <c r="R130" s="2511"/>
      <c r="S130" s="2824">
        <v>75666</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75" customHeight="1">
      <c r="A131" s="2511"/>
      <c r="B131" s="2511" t="s">
        <v>696</v>
      </c>
      <c r="C131" s="2511"/>
      <c r="D131" s="2511"/>
      <c r="E131" s="2511"/>
      <c r="F131" s="259">
        <f>'Part V-Revenues &amp; Expenses'!$Q$232*('DCA Underwriting Assumptions'!$Q$103/12)+('Part VI-Pro Forma'!$B$26+'Part VI-Pro Forma'!$B$27+'Part VI-Pro Forma'!$B$28+'Part VI-Pro Forma'!$B$29)*'DCA Underwriting Assumptions'!$Q$102/(-12)</f>
        <v>245665.26825428382</v>
      </c>
      <c r="G131" s="2824">
        <v>245665</v>
      </c>
      <c r="H131" s="2825"/>
      <c r="I131" s="2511"/>
      <c r="J131" s="580" t="str">
        <f>IF(E131&gt;G131,"WARNING! ODR proposed is below minimum - add comment.","")</f>
        <v/>
      </c>
      <c r="K131" s="193"/>
      <c r="L131" s="193"/>
      <c r="M131" s="193"/>
      <c r="N131" s="193"/>
      <c r="O131" s="2511"/>
      <c r="P131" s="193"/>
      <c r="Q131" s="193"/>
      <c r="R131" s="2511"/>
      <c r="S131" s="2824">
        <v>245665</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75" customHeight="1">
      <c r="A132" s="2511"/>
      <c r="B132" s="2511" t="s">
        <v>697</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698</v>
      </c>
      <c r="BA132" s="1281">
        <v>132</v>
      </c>
    </row>
    <row r="133" spans="1:53" s="95" customFormat="1" ht="12.75" customHeight="1">
      <c r="A133" s="2511"/>
      <c r="B133" s="2511" t="s">
        <v>699</v>
      </c>
      <c r="C133" s="2511"/>
      <c r="D133" s="2511"/>
      <c r="E133" s="498" t="s">
        <v>700</v>
      </c>
      <c r="F133" s="259">
        <f>IF('Part V-Revenues &amp; Expenses'!$P$67=0,0,G133/'Part V-Revenues &amp; Expenses'!$P$67)</f>
        <v>2250</v>
      </c>
      <c r="G133" s="2824">
        <v>135000</v>
      </c>
      <c r="H133" s="2825"/>
      <c r="I133" s="2511"/>
      <c r="J133" s="4333">
        <v>135000</v>
      </c>
      <c r="K133" s="4334"/>
      <c r="L133" s="2531"/>
      <c r="M133" s="4333"/>
      <c r="N133" s="4334"/>
      <c r="O133" s="2511"/>
      <c r="P133" s="4333"/>
      <c r="Q133" s="4334"/>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701</v>
      </c>
      <c r="BA133" s="1281">
        <v>133</v>
      </c>
    </row>
    <row r="134" spans="1:53" s="95" customFormat="1" ht="12.75" customHeight="1" thickBot="1">
      <c r="A134" s="205" t="str">
        <f>IF(AND(G134&gt;0,OR(C134="",C134="&lt;Enter detailed description here; use Comments section if needed&gt;")),"X","")</f>
        <v/>
      </c>
      <c r="B134" s="98" t="s">
        <v>663</v>
      </c>
      <c r="C134" s="2946" t="s">
        <v>543</v>
      </c>
      <c r="D134" s="2946"/>
      <c r="E134" s="2946"/>
      <c r="F134" s="2947"/>
      <c r="G134" s="2822"/>
      <c r="H134" s="2823"/>
      <c r="I134" s="2511"/>
      <c r="J134" s="2954"/>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75" customHeight="1" thickTop="1">
      <c r="A135" s="2511"/>
      <c r="B135" s="195"/>
      <c r="C135" s="2511"/>
      <c r="D135" s="2511"/>
      <c r="E135" s="2511"/>
      <c r="F135" s="184" t="s">
        <v>547</v>
      </c>
      <c r="G135" s="2944">
        <f>SUM(G129:G134)</f>
        <v>506331</v>
      </c>
      <c r="H135" s="2945"/>
      <c r="I135" s="2511"/>
      <c r="J135" s="2944">
        <f>SUM(J133:J134)</f>
        <v>135000</v>
      </c>
      <c r="K135" s="2945"/>
      <c r="L135" s="2531"/>
      <c r="M135" s="2944">
        <f>SUM(M133:M134)</f>
        <v>0</v>
      </c>
      <c r="N135" s="2945"/>
      <c r="O135" s="2511"/>
      <c r="P135" s="2944">
        <f>SUM(P133:P134)</f>
        <v>0</v>
      </c>
      <c r="Q135" s="2945"/>
      <c r="R135" s="2511"/>
      <c r="S135" s="2944">
        <f>SUM(S129:S134)</f>
        <v>371331</v>
      </c>
      <c r="T135" s="2945"/>
      <c r="U135" s="2511"/>
      <c r="V135" s="638">
        <f>SUM(V129:V134)</f>
        <v>0</v>
      </c>
      <c r="W135" s="4385"/>
      <c r="X135" s="4386"/>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75"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634</v>
      </c>
      <c r="C139" s="2511"/>
      <c r="D139" s="2511"/>
      <c r="E139" s="2511"/>
      <c r="F139" s="2511"/>
      <c r="G139" s="2511"/>
      <c r="H139" s="2511"/>
      <c r="I139" s="2511"/>
      <c r="J139" s="2938" t="s">
        <v>527</v>
      </c>
      <c r="K139" s="2939"/>
      <c r="L139" s="183"/>
      <c r="M139" s="2948" t="s">
        <v>528</v>
      </c>
      <c r="N139" s="2949"/>
      <c r="O139" s="2511"/>
      <c r="P139" s="2938" t="s">
        <v>529</v>
      </c>
      <c r="Q139" s="2939"/>
      <c r="R139" s="2511"/>
      <c r="S139" s="2938" t="s">
        <v>530</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531</v>
      </c>
      <c r="H140" s="2953"/>
      <c r="I140" s="2511"/>
      <c r="J140" s="2940"/>
      <c r="K140" s="2941"/>
      <c r="L140" s="183"/>
      <c r="M140" s="2950"/>
      <c r="N140" s="2951"/>
      <c r="O140" s="2511"/>
      <c r="P140" s="2940"/>
      <c r="Q140" s="2941"/>
      <c r="R140" s="2511"/>
      <c r="S140" s="2940"/>
      <c r="T140" s="2941"/>
      <c r="U140" s="2511"/>
      <c r="V140" s="159" t="s">
        <v>363</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5" customHeight="1">
      <c r="A141" s="2511"/>
      <c r="B141" s="151" t="s">
        <v>702</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75" customHeight="1">
      <c r="A142" s="2511"/>
      <c r="B142" s="2511" t="s">
        <v>703</v>
      </c>
      <c r="C142" s="2517"/>
      <c r="D142" s="2511"/>
      <c r="E142" s="2511"/>
      <c r="F142" s="2511"/>
      <c r="G142" s="4333"/>
      <c r="H142" s="4334"/>
      <c r="I142" s="2511"/>
      <c r="J142" s="4333"/>
      <c r="K142" s="4334"/>
      <c r="L142" s="185"/>
      <c r="M142" s="4333"/>
      <c r="N142" s="4334"/>
      <c r="O142" s="2511"/>
      <c r="P142" s="4333"/>
      <c r="Q142" s="4334"/>
      <c r="R142" s="2511"/>
      <c r="S142" s="4333"/>
      <c r="T142" s="4334"/>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75" customHeight="1" thickBot="1">
      <c r="A143" s="205" t="str">
        <f>IF(AND(G143&gt;0,OR(C143="",C143="&lt;Enter detailed description here; use Comments section if needed&gt;")),"X","")</f>
        <v/>
      </c>
      <c r="B143" s="98" t="s">
        <v>663</v>
      </c>
      <c r="C143" s="2946" t="s">
        <v>543</v>
      </c>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75" customHeight="1" thickTop="1">
      <c r="A144" s="2511"/>
      <c r="B144" s="2511"/>
      <c r="C144" s="2517"/>
      <c r="D144" s="2511"/>
      <c r="E144" s="2511"/>
      <c r="F144" s="184" t="s">
        <v>547</v>
      </c>
      <c r="G144" s="2944">
        <f>SUM(G142:G143)</f>
        <v>0</v>
      </c>
      <c r="H144" s="2945"/>
      <c r="I144" s="2511"/>
      <c r="J144" s="2944">
        <f>SUM(J142:J143)</f>
        <v>0</v>
      </c>
      <c r="K144" s="2945"/>
      <c r="L144" s="2531"/>
      <c r="M144" s="2944">
        <f>SUM(M142:M143)</f>
        <v>0</v>
      </c>
      <c r="N144" s="2945"/>
      <c r="O144" s="2511"/>
      <c r="P144" s="2944">
        <f>SUM(P142:P143)</f>
        <v>0</v>
      </c>
      <c r="Q144" s="2945"/>
      <c r="R144" s="2511"/>
      <c r="S144" s="2944">
        <f>SUM(S142:S143)</f>
        <v>0</v>
      </c>
      <c r="T144" s="2945"/>
      <c r="U144" s="2511"/>
      <c r="V144" s="638">
        <f>SUM(V142:V143)</f>
        <v>0</v>
      </c>
      <c r="W144" s="4385"/>
      <c r="X144" s="4386"/>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704</v>
      </c>
      <c r="C146" s="2511"/>
      <c r="D146" s="2511"/>
      <c r="E146" s="498"/>
      <c r="F146" s="956"/>
      <c r="G146" s="2942">
        <f>G18+G24+G28+G36+G41+G46+G55+G73+G86+G92+G103+G114+G120+G127+G135+G144</f>
        <v>17967647</v>
      </c>
      <c r="H146" s="2943"/>
      <c r="I146" s="2511"/>
      <c r="J146" s="2942">
        <f>J18+J24+J28+J36+J41+J46+J55+J73+J86+J92+J103+J114+J120+J127+J135+J144</f>
        <v>14423689</v>
      </c>
      <c r="K146" s="2943"/>
      <c r="L146" s="2511"/>
      <c r="M146" s="2942">
        <f>M18+M24+M28+M36+M41+M46+M55+M73+M86+M92+M103+M114+M120+M127+M135+M144</f>
        <v>0</v>
      </c>
      <c r="N146" s="2943"/>
      <c r="O146" s="2511"/>
      <c r="P146" s="2942">
        <f>P18+P24+P28+P36+P41+P46+P55+P73+P86+P92+P103+P114+P120+P127+P135+P144</f>
        <v>0</v>
      </c>
      <c r="Q146" s="2943"/>
      <c r="R146" s="2511"/>
      <c r="S146" s="2942">
        <f>S18+S24+S28+S36+S41+S46+S55+S73+S86+S92+S103+S114+S120+S127+S135+S144</f>
        <v>3543958</v>
      </c>
      <c r="T146" s="2943"/>
      <c r="U146" s="2511"/>
      <c r="V146" s="641">
        <f>V18+V24+V28+V36+V41+V46+V55+V73+V86+V92+V103+V114+V120+V127+V135+V144</f>
        <v>0</v>
      </c>
      <c r="W146" s="4395"/>
      <c r="X146" s="4386"/>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25" customHeight="1">
      <c r="A148" s="2511"/>
      <c r="B148" s="283" t="s">
        <v>705</v>
      </c>
      <c r="C148" s="281"/>
      <c r="D148" s="2935">
        <f>IF('Part V-Revenues &amp; Expenses'!$P$67=0,0,G146/'Part V-Revenues &amp; Expenses'!$P$67)</f>
        <v>299460.78333333333</v>
      </c>
      <c r="E148" s="2935"/>
      <c r="F148" s="282" t="s">
        <v>706</v>
      </c>
      <c r="G148" s="2936">
        <f>IF('Part V-Revenues &amp; Expenses'!$K$179=0,0,G146/'Part V-Revenues &amp; Expenses'!$K$179)</f>
        <v>322.81656156237085</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25" customHeight="1">
      <c r="A150" s="237" t="s">
        <v>25</v>
      </c>
      <c r="B150" s="239" t="s">
        <v>707</v>
      </c>
      <c r="C150" s="269"/>
      <c r="D150" s="2531"/>
      <c r="E150" s="2531"/>
      <c r="F150" s="2531"/>
      <c r="G150" s="2511"/>
      <c r="H150" s="2511"/>
      <c r="I150" s="198"/>
      <c r="J150" s="2938" t="s">
        <v>527</v>
      </c>
      <c r="K150" s="2939"/>
      <c r="L150" s="2511"/>
      <c r="M150" s="2938" t="s">
        <v>708</v>
      </c>
      <c r="N150" s="2939"/>
      <c r="O150" s="2511"/>
      <c r="P150" s="2938" t="s">
        <v>529</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709</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25" customHeight="1">
      <c r="A153" s="2511"/>
      <c r="B153" s="2517" t="s">
        <v>710</v>
      </c>
      <c r="C153" s="2511"/>
      <c r="D153" s="2511"/>
      <c r="E153" s="2511"/>
      <c r="F153" s="2511"/>
      <c r="G153" s="2511"/>
      <c r="H153" s="2511"/>
      <c r="I153" s="198"/>
      <c r="J153" s="4396"/>
      <c r="K153" s="4397"/>
      <c r="L153" s="2511"/>
      <c r="M153" s="2511"/>
      <c r="N153" s="2511"/>
      <c r="O153" s="2511"/>
      <c r="P153" s="4396"/>
      <c r="Q153" s="4397"/>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25" customHeight="1">
      <c r="A154" s="2511"/>
      <c r="B154" s="2511" t="s">
        <v>711</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25" customHeight="1">
      <c r="A155" s="2511"/>
      <c r="B155" s="2511" t="s">
        <v>712</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25" customHeight="1">
      <c r="A156" s="2511"/>
      <c r="B156" s="2511" t="s">
        <v>713</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25" customHeight="1">
      <c r="A157" s="2511"/>
      <c r="B157" s="2511" t="s">
        <v>714</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25" customHeight="1" thickBot="1">
      <c r="A158" s="2511"/>
      <c r="B158" s="2511" t="s">
        <v>715</v>
      </c>
      <c r="C158" s="2929" t="s">
        <v>716</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25" customHeight="1" thickBot="1">
      <c r="A159" s="2511"/>
      <c r="B159" s="151" t="s">
        <v>717</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5"/>
      <c r="X159" s="4386"/>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718</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25" customHeight="1">
      <c r="A162" s="2511"/>
      <c r="B162" s="2511" t="s">
        <v>719</v>
      </c>
      <c r="C162" s="2511"/>
      <c r="D162" s="2511"/>
      <c r="E162" s="2511"/>
      <c r="F162" s="2511"/>
      <c r="G162" s="2511"/>
      <c r="H162" s="2511"/>
      <c r="I162" s="2511"/>
      <c r="J162" s="2885">
        <f>J146</f>
        <v>14423689</v>
      </c>
      <c r="K162" s="2887"/>
      <c r="L162" s="2511"/>
      <c r="M162" s="2927">
        <f>M146</f>
        <v>0</v>
      </c>
      <c r="N162" s="4398"/>
      <c r="O162" s="2511"/>
      <c r="P162" s="2885">
        <f>P146</f>
        <v>0</v>
      </c>
      <c r="Q162" s="2887"/>
      <c r="R162" s="2928" t="s">
        <v>720</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25" customHeight="1">
      <c r="A163" s="2511"/>
      <c r="B163" s="2511" t="s">
        <v>721</v>
      </c>
      <c r="C163" s="2511"/>
      <c r="D163" s="2511"/>
      <c r="E163" s="2511"/>
      <c r="F163" s="2511"/>
      <c r="G163" s="2511"/>
      <c r="H163" s="2511"/>
      <c r="I163" s="2511"/>
      <c r="J163" s="2901">
        <f>J159</f>
        <v>0</v>
      </c>
      <c r="K163" s="2903"/>
      <c r="L163" s="2511"/>
      <c r="M163" s="4399"/>
      <c r="N163" s="4399"/>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25" customHeight="1">
      <c r="A164" s="2511"/>
      <c r="B164" s="2511" t="s">
        <v>722</v>
      </c>
      <c r="C164" s="2511"/>
      <c r="D164" s="2511"/>
      <c r="E164" s="2511"/>
      <c r="F164" s="2511"/>
      <c r="G164" s="2511"/>
      <c r="H164" s="2511"/>
      <c r="I164" s="2511"/>
      <c r="J164" s="2901">
        <f>J162-J163</f>
        <v>14423689</v>
      </c>
      <c r="K164" s="2903"/>
      <c r="L164" s="2511"/>
      <c r="M164" s="4400">
        <f>M162</f>
        <v>0</v>
      </c>
      <c r="N164" s="4401"/>
      <c r="O164" s="2511"/>
      <c r="P164" s="2901">
        <f>P162-P163</f>
        <v>0</v>
      </c>
      <c r="Q164" s="2903"/>
      <c r="R164" s="2920" t="s">
        <v>723</v>
      </c>
      <c r="S164" s="4402"/>
      <c r="T164" s="4403"/>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25" customHeight="1">
      <c r="A165" s="2511"/>
      <c r="B165" s="2511" t="s">
        <v>724</v>
      </c>
      <c r="C165" s="2511"/>
      <c r="D165" s="2511"/>
      <c r="E165" s="2511"/>
      <c r="F165" s="2511"/>
      <c r="G165" s="2512" t="s">
        <v>725</v>
      </c>
      <c r="H165" s="2689" t="s">
        <v>726</v>
      </c>
      <c r="I165" s="2690"/>
      <c r="J165" s="2909">
        <v>1</v>
      </c>
      <c r="K165" s="2910"/>
      <c r="L165" s="2511"/>
      <c r="M165" s="4404"/>
      <c r="N165" s="4404"/>
      <c r="O165" s="2511"/>
      <c r="P165" s="2909"/>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25" customHeight="1">
      <c r="A166" s="2511"/>
      <c r="B166" s="2511" t="s">
        <v>727</v>
      </c>
      <c r="C166" s="2511"/>
      <c r="D166" s="2511"/>
      <c r="E166" s="2511"/>
      <c r="F166" s="2511"/>
      <c r="G166" s="2511"/>
      <c r="H166" s="2511"/>
      <c r="I166" s="2511"/>
      <c r="J166" s="2901">
        <f>J164*J165</f>
        <v>14423689</v>
      </c>
      <c r="K166" s="2903"/>
      <c r="L166" s="2511"/>
      <c r="M166" s="2885">
        <f>+M164</f>
        <v>0</v>
      </c>
      <c r="N166" s="2887"/>
      <c r="O166" s="2511"/>
      <c r="P166" s="2901">
        <f>P164*P165</f>
        <v>0</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25" customHeight="1">
      <c r="A167" s="2511"/>
      <c r="B167" s="2511" t="s">
        <v>728</v>
      </c>
      <c r="C167" s="2511"/>
      <c r="D167" s="2511"/>
      <c r="E167" s="2511"/>
      <c r="F167" s="2511"/>
      <c r="G167" s="2511"/>
      <c r="H167" s="2511"/>
      <c r="I167" s="2511"/>
      <c r="J167" s="2911">
        <f>MIN('Part V-Revenues &amp; Expenses'!$P$63/'Part V-Revenues &amp; Expenses'!$P$65,'Part V-Revenues &amp; Expenses'!$P$168/'Part V-Revenues &amp; Expenses'!$P$170)</f>
        <v>0.89477999962727595</v>
      </c>
      <c r="K167" s="2912"/>
      <c r="L167" s="2511"/>
      <c r="M167" s="2911">
        <f>MIN('Part V-Revenues &amp; Expenses'!$P$63/'Part V-Revenues &amp; Expenses'!$P$65,'Part V-Revenues &amp; Expenses'!$P$168/'Part V-Revenues &amp; Expenses'!$P$170)</f>
        <v>0.89477999962727595</v>
      </c>
      <c r="N167" s="2912"/>
      <c r="O167" s="2511"/>
      <c r="P167" s="2911">
        <f>MIN('Part V-Revenues &amp; Expenses'!$P$63/'Part V-Revenues &amp; Expenses'!$P$65,'Part V-Revenues &amp; Expenses'!$P$168/'Part V-Revenues &amp; Expenses'!$P$170)</f>
        <v>0.89477999962727595</v>
      </c>
      <c r="Q167" s="2912"/>
      <c r="R167" s="2913" t="s">
        <v>729</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25" customHeight="1">
      <c r="A168" s="2511"/>
      <c r="B168" s="2511" t="s">
        <v>730</v>
      </c>
      <c r="C168" s="2511"/>
      <c r="D168" s="2511"/>
      <c r="E168" s="2511"/>
      <c r="F168" s="2511"/>
      <c r="G168" s="2511"/>
      <c r="H168" s="2511"/>
      <c r="I168" s="2511"/>
      <c r="J168" s="2901">
        <f>J166*J167</f>
        <v>12906028.438043945</v>
      </c>
      <c r="K168" s="2903"/>
      <c r="L168" s="2511"/>
      <c r="M168" s="2901">
        <f>M166*M167</f>
        <v>0</v>
      </c>
      <c r="N168" s="2903"/>
      <c r="O168" s="2511"/>
      <c r="P168" s="2901">
        <f>P166*P167</f>
        <v>0</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25" customHeight="1">
      <c r="A169" s="2511"/>
      <c r="B169" s="2511" t="s">
        <v>731</v>
      </c>
      <c r="C169" s="2511"/>
      <c r="D169" s="2511"/>
      <c r="E169" s="2511"/>
      <c r="F169" s="2511"/>
      <c r="G169" s="2511"/>
      <c r="H169" s="2511"/>
      <c r="I169" s="2511"/>
      <c r="J169" s="2909">
        <v>0.09</v>
      </c>
      <c r="K169" s="2910"/>
      <c r="L169" s="2511"/>
      <c r="M169" s="2909"/>
      <c r="N169" s="2910"/>
      <c r="O169" s="2511"/>
      <c r="P169" s="2909"/>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25" customHeight="1" thickBot="1">
      <c r="A170" s="2511"/>
      <c r="B170" s="2511" t="s">
        <v>732</v>
      </c>
      <c r="C170" s="2511"/>
      <c r="D170" s="2511"/>
      <c r="E170" s="2511"/>
      <c r="F170" s="2511"/>
      <c r="G170" s="2511"/>
      <c r="H170" s="2511"/>
      <c r="I170" s="2511"/>
      <c r="J170" s="2916">
        <f>J168*J169</f>
        <v>1161542.5594239549</v>
      </c>
      <c r="K170" s="2917"/>
      <c r="L170" s="2511"/>
      <c r="M170" s="2916">
        <f>M168*M169</f>
        <v>0</v>
      </c>
      <c r="N170" s="2917"/>
      <c r="O170" s="2511"/>
      <c r="P170" s="2916">
        <f>P168*P169</f>
        <v>0</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25" customHeight="1" thickBot="1">
      <c r="A171" s="2511"/>
      <c r="B171" s="151" t="s">
        <v>733</v>
      </c>
      <c r="C171" s="2511"/>
      <c r="D171" s="2511"/>
      <c r="E171" s="2511"/>
      <c r="F171" s="2511"/>
      <c r="G171" s="2511"/>
      <c r="H171" s="2511"/>
      <c r="I171" s="2511"/>
      <c r="J171" s="2774">
        <f>ROUNDDOWN(J170+M170+P170,0)</f>
        <v>1161542</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25" customHeight="1">
      <c r="A173" s="238" t="s">
        <v>32</v>
      </c>
      <c r="B173" s="238" t="s">
        <v>734</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735</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736</v>
      </c>
      <c r="C176" s="2511"/>
      <c r="D176" s="2511"/>
      <c r="E176" s="2511"/>
      <c r="F176" s="2511"/>
      <c r="G176" s="2511"/>
      <c r="H176" s="2511"/>
      <c r="I176" s="2511"/>
      <c r="J176" s="2885">
        <f>G146</f>
        <v>17967647</v>
      </c>
      <c r="K176" s="2886"/>
      <c r="L176" s="2887"/>
      <c r="M176" s="2511"/>
      <c r="N176" s="2888" t="s">
        <v>737</v>
      </c>
      <c r="O176" s="2889"/>
      <c r="P176" s="2889"/>
      <c r="Q176" s="2890"/>
      <c r="R176" s="2511"/>
      <c r="S176" s="2897" t="s">
        <v>738</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25" customHeight="1">
      <c r="A177" s="2511"/>
      <c r="B177" s="2511" t="s">
        <v>739</v>
      </c>
      <c r="C177" s="2511"/>
      <c r="D177" s="2511"/>
      <c r="E177" s="2511"/>
      <c r="F177" s="2511"/>
      <c r="G177" s="2511"/>
      <c r="H177" s="2511"/>
      <c r="I177" s="2511"/>
      <c r="J177" s="2901">
        <f>'Part II-Sources of Funds'!$I$60-'Part II-Sources of Funds'!$I$44-'Part II-Sources of Funds'!$I$45-'Part II-Sources of Funds'!$I$51-'Part II-Sources of Funds'!$I$52</f>
        <v>2530000</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25" customHeight="1">
      <c r="A178" s="2511"/>
      <c r="B178" s="2511" t="s">
        <v>740</v>
      </c>
      <c r="C178" s="2511"/>
      <c r="D178" s="2511"/>
      <c r="E178" s="2511"/>
      <c r="F178" s="2511"/>
      <c r="G178" s="2511"/>
      <c r="H178" s="2511"/>
      <c r="I178" s="2511"/>
      <c r="J178" s="2904">
        <f>+J176-J177</f>
        <v>15437647</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25" customHeight="1" thickBot="1">
      <c r="A179" s="2511"/>
      <c r="B179" s="2511" t="s">
        <v>741</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742</v>
      </c>
      <c r="T179" s="4405"/>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25" customHeight="1">
      <c r="A180" s="2511"/>
      <c r="B180" s="2511" t="s">
        <v>743</v>
      </c>
      <c r="C180" s="2511"/>
      <c r="D180" s="2511"/>
      <c r="E180" s="2511"/>
      <c r="F180" s="2511"/>
      <c r="G180" s="2511"/>
      <c r="H180" s="2511"/>
      <c r="I180" s="2511"/>
      <c r="J180" s="4400">
        <f>J178/10</f>
        <v>1543764.7</v>
      </c>
      <c r="K180" s="4399"/>
      <c r="L180" s="4401"/>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25" customHeight="1">
      <c r="A181" s="2511"/>
      <c r="B181" s="2511"/>
      <c r="C181" s="2511"/>
      <c r="D181" s="2511"/>
      <c r="E181" s="2511"/>
      <c r="F181" s="2511"/>
      <c r="G181" s="2511"/>
      <c r="H181" s="2511"/>
      <c r="I181" s="2511"/>
      <c r="J181" s="2511"/>
      <c r="K181" s="2511"/>
      <c r="L181" s="2511"/>
      <c r="M181" s="96"/>
      <c r="N181" s="2820" t="s">
        <v>744</v>
      </c>
      <c r="O181" s="2820"/>
      <c r="P181" s="2511"/>
      <c r="Q181" s="2820" t="s">
        <v>206</v>
      </c>
      <c r="R181" s="2820"/>
      <c r="S181" s="2511"/>
      <c r="T181" s="2511"/>
      <c r="U181" s="2511"/>
      <c r="V181" s="636"/>
      <c r="W181" s="2878"/>
      <c r="X181" s="2879"/>
      <c r="Y181" s="2511"/>
      <c r="Z181" s="1382" t="s">
        <v>726</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25" customHeight="1" thickBot="1">
      <c r="A182" s="2511"/>
      <c r="B182" s="2511" t="s">
        <v>745</v>
      </c>
      <c r="C182" s="2511"/>
      <c r="D182" s="2511"/>
      <c r="E182" s="2511"/>
      <c r="F182" s="2511"/>
      <c r="G182" s="2511"/>
      <c r="H182" s="2511"/>
      <c r="I182" s="2511"/>
      <c r="J182" s="4406">
        <f>N182+Q182</f>
        <v>1.3</v>
      </c>
      <c r="K182" s="4407"/>
      <c r="L182" s="4408"/>
      <c r="M182" s="2512" t="s">
        <v>746</v>
      </c>
      <c r="N182" s="4409">
        <v>0.8</v>
      </c>
      <c r="O182" s="4410"/>
      <c r="P182" s="2512" t="s">
        <v>747</v>
      </c>
      <c r="Q182" s="4409">
        <v>0.5</v>
      </c>
      <c r="R182" s="4410"/>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25" customHeight="1" thickBot="1">
      <c r="A183" s="2511"/>
      <c r="B183" s="151" t="s">
        <v>748</v>
      </c>
      <c r="C183" s="2511"/>
      <c r="D183" s="2511"/>
      <c r="E183" s="2511"/>
      <c r="F183" s="2511"/>
      <c r="G183" s="2511"/>
      <c r="H183" s="2511"/>
      <c r="I183" s="2511"/>
      <c r="J183" s="2774">
        <f>ROUNDDOWN(IF(J182=0,"",J180/J182),0)</f>
        <v>1187511</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25" customHeight="1">
      <c r="A185" s="238" t="s">
        <v>52</v>
      </c>
      <c r="B185" s="238" t="s">
        <v>749</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5" customHeight="1">
      <c r="A187" s="2511"/>
      <c r="B187" s="151" t="s">
        <v>750</v>
      </c>
      <c r="C187" s="2511"/>
      <c r="D187" s="2511"/>
      <c r="E187" s="2511"/>
      <c r="F187" s="2511"/>
      <c r="G187" s="2511"/>
      <c r="H187" s="2511"/>
      <c r="I187" s="2511"/>
      <c r="J187" s="4411">
        <f>MIN(J171,J183)</f>
        <v>1161542</v>
      </c>
      <c r="K187" s="4412"/>
      <c r="L187" s="4413"/>
      <c r="M187" s="2511"/>
      <c r="N187" s="2511"/>
      <c r="O187" s="2511"/>
      <c r="P187" s="2511"/>
      <c r="Q187" s="98" t="s">
        <v>751</v>
      </c>
      <c r="R187" s="98"/>
      <c r="S187" s="2876" t="str">
        <f>'Part VIII Scoring Criteria'!$J$12</f>
        <v>Rural</v>
      </c>
      <c r="T187" s="2877"/>
      <c r="U187" s="1204" t="str">
        <f>IF(OR(S187="Atlanta Metro", "Other Metro"), "Metro", IF(S187="Rural","Rural",""))</f>
        <v>Rural</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5" customHeight="1">
      <c r="A189" s="2511"/>
      <c r="B189" s="151" t="s">
        <v>752</v>
      </c>
      <c r="C189" s="2511"/>
      <c r="D189" s="2511"/>
      <c r="E189" s="2511"/>
      <c r="F189" s="2511"/>
      <c r="G189" s="2511"/>
      <c r="H189" s="2511"/>
      <c r="I189" s="2511"/>
      <c r="J189" s="4411">
        <f>J187</f>
        <v>1161542</v>
      </c>
      <c r="K189" s="4412"/>
      <c r="L189" s="4413"/>
      <c r="M189" s="2880" t="str">
        <f>IF(J187=0,"",IF(J189&gt;J187,"Request can't exceed Maximum - REVISE (Try Round Down)!",""))</f>
        <v/>
      </c>
      <c r="N189" s="2880"/>
      <c r="O189" s="2880"/>
      <c r="P189" s="2880"/>
      <c r="Q189" s="150" t="s">
        <v>753</v>
      </c>
      <c r="R189" s="98"/>
      <c r="S189" s="2876" t="str">
        <f>'Part VIII Scoring Criteria'!$F$12</f>
        <v>New Affordability</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5" customHeight="1">
      <c r="A191" s="238"/>
      <c r="B191" s="238" t="s">
        <v>754</v>
      </c>
      <c r="C191" s="2511"/>
      <c r="D191" s="96"/>
      <c r="E191" s="96"/>
      <c r="F191" s="2517"/>
      <c r="G191" s="2511"/>
      <c r="H191" s="2511"/>
      <c r="I191" s="2511"/>
      <c r="J191" s="4414">
        <f>IF(J189="",0,+MIN(J187,J189))</f>
        <v>1161542</v>
      </c>
      <c r="K191" s="4415"/>
      <c r="L191" s="4416"/>
      <c r="M191" s="2880"/>
      <c r="N191" s="2880"/>
      <c r="O191" s="2880"/>
      <c r="P191" s="2880"/>
      <c r="Q191" s="146" t="s">
        <v>644</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70</v>
      </c>
      <c r="B194" s="159" t="s">
        <v>80</v>
      </c>
      <c r="N194" s="151" t="s">
        <v>79</v>
      </c>
      <c r="O194" s="151" t="s">
        <v>82</v>
      </c>
      <c r="AZ194" s="1317"/>
      <c r="BA194" s="1281">
        <v>194</v>
      </c>
    </row>
    <row r="195" spans="1:53" ht="287.25" customHeight="1">
      <c r="A195" s="2764" t="s">
        <v>755</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302</v>
      </c>
      <c r="X195" s="2766"/>
      <c r="AZ195" s="1317"/>
      <c r="BA195" s="1281">
        <v>195</v>
      </c>
    </row>
    <row r="196" spans="1:53" ht="11.25" customHeight="1">
      <c r="AZ196" s="1317"/>
      <c r="BA196" s="1281">
        <v>196</v>
      </c>
    </row>
    <row r="197" spans="1:53" ht="12" customHeight="1">
      <c r="BA197" s="1317"/>
    </row>
    <row r="198" spans="1:53" ht="12" customHeight="1">
      <c r="AZ198" s="1317"/>
    </row>
    <row r="199" spans="1:53" ht="14.85" customHeight="1">
      <c r="BA199" s="1317"/>
    </row>
    <row r="200" spans="1:53" s="95" customFormat="1" ht="14.8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8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8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85" customHeight="1">
      <c r="AZ203" s="1317"/>
      <c r="BA203" s="1317"/>
    </row>
    <row r="204" spans="1:53" s="95" customFormat="1" ht="14.8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85" customHeight="1">
      <c r="AZ205" s="1317"/>
      <c r="BA205" s="1317"/>
    </row>
    <row r="206" spans="1:53" s="95" customFormat="1" ht="14.8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8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8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8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8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8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8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8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8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85" customHeight="1"/>
    <row r="216" spans="1:53" ht="14.85" customHeight="1"/>
    <row r="217" spans="1:53" ht="14.85" customHeight="1">
      <c r="AZ217" s="1317"/>
    </row>
    <row r="218" spans="1:53" ht="14.85" customHeight="1">
      <c r="BA218" s="1317"/>
    </row>
    <row r="219" spans="1:53" ht="14.85" customHeight="1"/>
    <row r="220" spans="1:53" ht="14.85" customHeight="1"/>
    <row r="221" spans="1:53" ht="14.85" customHeight="1"/>
    <row r="222" spans="1:53" ht="14.85" customHeight="1"/>
    <row r="223" spans="1:53" s="95" customFormat="1" ht="14.8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256"/>
      <c r="L237" s="2511"/>
    </row>
    <row r="238" spans="11:12" ht="14.8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disablePrompts="1"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scale="96"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H47" sqref="H47"/>
    </sheetView>
  </sheetViews>
  <sheetFormatPr defaultColWidth="9.28515625" defaultRowHeight="15.9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c r="A1" s="3032" t="str">
        <f>CONCATENATE("PART THREE (B) -  OTHER COSTS","  -  ",'Part I-Project Identification'!$O$7," - ",'Part I-Project Identification'!$F$26,"  -  ",'Part I-Project Identification'!$F$27,"  -  ",'Part I-Project Identification'!$J$27,",  ","County")</f>
        <v>PART THREE (B) -  OTHER COSTS  -  2024-0 - Abbington Blue Ridge  -  Blue Ridge  -  Fannin,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756</v>
      </c>
      <c r="B3" s="3035"/>
      <c r="C3" s="3035"/>
      <c r="D3" s="3035"/>
      <c r="E3" s="3035"/>
      <c r="F3" s="3035"/>
      <c r="G3" s="3035"/>
      <c r="H3" s="3036"/>
      <c r="R3" s="2080">
        <v>3</v>
      </c>
    </row>
    <row r="4" spans="1:18" ht="6" customHeight="1">
      <c r="R4" s="2080">
        <v>4</v>
      </c>
    </row>
    <row r="5" spans="1:18" ht="38.25" customHeight="1">
      <c r="A5" s="3037" t="s">
        <v>757</v>
      </c>
      <c r="B5" s="3037"/>
      <c r="C5" s="3037"/>
      <c r="D5" s="3037"/>
      <c r="F5" s="545" t="s">
        <v>758</v>
      </c>
      <c r="G5" s="321"/>
      <c r="H5" s="545" t="s">
        <v>759</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c r="A8" s="558" t="s">
        <v>532</v>
      </c>
      <c r="B8" s="548"/>
      <c r="C8" s="548"/>
      <c r="D8" s="548"/>
      <c r="E8" s="548"/>
      <c r="F8" s="548"/>
      <c r="G8" s="548"/>
      <c r="H8" s="548"/>
      <c r="R8" s="2081">
        <v>8</v>
      </c>
    </row>
    <row r="9" spans="1:18" s="547" customFormat="1" ht="41.25" customHeight="1">
      <c r="A9" s="3029" t="str">
        <f>'Part III-A-Uses of Funds'!$C$15</f>
        <v>Arch, Environ, &amp; Cost Review</v>
      </c>
      <c r="B9" s="3030"/>
      <c r="C9" s="3030"/>
      <c r="D9" s="3031"/>
      <c r="F9" s="4417" t="s">
        <v>760</v>
      </c>
      <c r="G9" s="548"/>
      <c r="H9" s="4417" t="s">
        <v>761</v>
      </c>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762</v>
      </c>
      <c r="B12" s="556">
        <f>'Part III-A-Uses of Funds'!$G$15</f>
        <v>12000</v>
      </c>
      <c r="C12" s="557" t="s">
        <v>719</v>
      </c>
      <c r="D12" s="556">
        <f>'Part III-A-Uses of Funds'!$J$15+'Part III-A-Uses of Funds'!$M$15+'Part III-A-Uses of Funds'!$P$15</f>
        <v>12000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&lt;&lt; Enter description here; provide detail &amp; justification in tab Part III-b &gt;&gt;</v>
      </c>
      <c r="B14" s="3030"/>
      <c r="C14" s="3030"/>
      <c r="D14" s="3031"/>
      <c r="F14" s="3027"/>
      <c r="G14" s="548"/>
      <c r="H14" s="3027"/>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762</v>
      </c>
      <c r="B17" s="556">
        <f>'Part III-A-Uses of Funds'!$G$16</f>
        <v>0</v>
      </c>
      <c r="C17" s="557" t="s">
        <v>719</v>
      </c>
      <c r="D17" s="556">
        <f>'Part III-A-Uses of Funds'!$J$16+'Part III-A-Uses of Funds'!$M$16+'Part III-A-Uses of Funds'!$P$16</f>
        <v>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762</v>
      </c>
      <c r="B22" s="556">
        <f>'Part III-A-Uses of Funds'!$G$17</f>
        <v>0</v>
      </c>
      <c r="C22" s="557" t="s">
        <v>719</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c r="A24" s="558" t="s">
        <v>763</v>
      </c>
      <c r="B24" s="548"/>
      <c r="C24" s="548"/>
      <c r="D24" s="548"/>
      <c r="E24" s="548"/>
      <c r="F24" s="548"/>
      <c r="G24" s="548"/>
      <c r="R24" s="2080">
        <v>24</v>
      </c>
    </row>
    <row r="25" spans="1:18" s="547" customFormat="1" ht="41.25" customHeight="1">
      <c r="A25" s="3029" t="str">
        <f>'Part III-A-Uses of Funds'!$C$46</f>
        <v>&lt;&lt; Enter description here; provide detail &amp; justification in tab Part III-b &gt;&gt;</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c r="A28" s="557" t="s">
        <v>762</v>
      </c>
      <c r="B28" s="556">
        <f>'Part III-A-Uses of Funds'!$G$46</f>
        <v>0</v>
      </c>
      <c r="C28" s="557" t="s">
        <v>719</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c r="A30" s="558" t="s">
        <v>595</v>
      </c>
      <c r="B30" s="548"/>
      <c r="C30" s="548"/>
      <c r="D30" s="548"/>
      <c r="E30" s="548"/>
      <c r="F30" s="548"/>
      <c r="G30" s="548"/>
      <c r="R30" s="2080">
        <v>30</v>
      </c>
    </row>
    <row r="31" spans="1:18" s="547" customFormat="1" ht="41.25" customHeight="1">
      <c r="A31" s="3018" t="str">
        <f>'Part III-A-Uses of Funds'!$C$71</f>
        <v>&lt;&lt; Enter description here; provide detail &amp; justification in tab Part III-b &gt;&gt;</v>
      </c>
      <c r="B31" s="3019"/>
      <c r="C31" s="3019"/>
      <c r="D31" s="3020"/>
      <c r="E31" s="548"/>
      <c r="F31" s="4417"/>
      <c r="G31" s="548"/>
      <c r="H31" s="4417"/>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762</v>
      </c>
      <c r="B34" s="556">
        <f>'Part III-A-Uses of Funds'!$G$71</f>
        <v>0</v>
      </c>
      <c r="C34" s="557" t="s">
        <v>719</v>
      </c>
      <c r="D34" s="556">
        <f>'Part III-A-Uses of Funds'!$J$71+'Part III-A-Uses of Funds'!$M$71+'Part III-A-Uses of Funds'!$P$71</f>
        <v>0</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t="str">
        <f>'Part III-A-Uses of Funds'!$C$72</f>
        <v>&lt;&lt; Enter description here; provide detail &amp; justification in tab Part III-b &gt;&gt;</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762</v>
      </c>
      <c r="B39" s="556">
        <f>'Part III-A-Uses of Funds'!$G$72</f>
        <v>0</v>
      </c>
      <c r="C39" s="557" t="s">
        <v>719</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c r="A41" s="558" t="s">
        <v>611</v>
      </c>
      <c r="B41" s="548"/>
      <c r="C41" s="548"/>
      <c r="D41" s="548"/>
      <c r="E41" s="552"/>
      <c r="F41" s="552"/>
      <c r="G41" s="548"/>
      <c r="R41" s="2080">
        <v>41</v>
      </c>
    </row>
    <row r="42" spans="1:18" s="547" customFormat="1" ht="41.25" customHeight="1">
      <c r="A42" s="3018" t="str">
        <f>'Part III-A-Uses of Funds'!$C$85</f>
        <v>Landscape Architect</v>
      </c>
      <c r="B42" s="3019"/>
      <c r="C42" s="3019"/>
      <c r="D42" s="3020"/>
      <c r="F42" s="3024" t="s">
        <v>764</v>
      </c>
      <c r="G42" s="548"/>
      <c r="H42" s="3024" t="s">
        <v>765</v>
      </c>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762</v>
      </c>
      <c r="B45" s="556">
        <f>'Part III-A-Uses of Funds'!$G$85</f>
        <v>15000</v>
      </c>
      <c r="C45" s="557" t="s">
        <v>719</v>
      </c>
      <c r="D45" s="556">
        <f>'Part III-A-Uses of Funds'!$J$85+'Part III-A-Uses of Funds'!$M$85+'Part III-A-Uses of Funds'!$P$85</f>
        <v>15000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c r="A47" s="558" t="s">
        <v>635</v>
      </c>
      <c r="B47" s="548"/>
      <c r="C47" s="548"/>
      <c r="D47" s="548"/>
      <c r="E47" s="548"/>
      <c r="F47" s="548"/>
      <c r="G47" s="548"/>
      <c r="R47" s="2080">
        <v>47</v>
      </c>
    </row>
    <row r="48" spans="1:18" s="547" customFormat="1" ht="41.25" customHeight="1">
      <c r="A48" s="3018">
        <f>'Part III-A-Uses of Funds'!$C$102</f>
        <v>0</v>
      </c>
      <c r="B48" s="3019"/>
      <c r="C48" s="3019"/>
      <c r="D48" s="3020"/>
      <c r="F48" s="3024"/>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762</v>
      </c>
      <c r="B51" s="556">
        <f>'Part III-A-Uses of Funds'!$G$102</f>
        <v>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c r="A53" s="558" t="s">
        <v>766</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7"/>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c r="A57" s="557" t="s">
        <v>762</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c r="A62" s="557" t="s">
        <v>762</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c r="A64" s="558" t="s">
        <v>767</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c r="A68" s="557" t="s">
        <v>762</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c r="A70" s="558" t="s">
        <v>691</v>
      </c>
      <c r="B70" s="548"/>
      <c r="C70" s="548"/>
      <c r="D70" s="548"/>
      <c r="E70" s="548"/>
      <c r="F70" s="548"/>
      <c r="G70" s="548"/>
      <c r="R70" s="2081">
        <v>70</v>
      </c>
    </row>
    <row r="71" spans="1:18" s="547" customFormat="1" ht="41.25" customHeight="1">
      <c r="A71" s="3018" t="str">
        <f>'Part III-A-Uses of Funds'!$C$134</f>
        <v>&lt;&lt; Enter description here; provide detail &amp; justification in tab Part III-b &gt;&gt;</v>
      </c>
      <c r="B71" s="3019"/>
      <c r="C71" s="3019"/>
      <c r="D71" s="3020"/>
      <c r="F71" s="3024"/>
      <c r="G71" s="548"/>
      <c r="H71" s="3024"/>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762</v>
      </c>
      <c r="B74" s="556">
        <f>'Part III-A-Uses of Funds'!$G$134</f>
        <v>0</v>
      </c>
      <c r="C74" s="557" t="s">
        <v>719</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c r="A76" s="558" t="s">
        <v>768</v>
      </c>
      <c r="B76" s="549"/>
      <c r="C76" s="548"/>
      <c r="D76" s="548"/>
      <c r="E76" s="548"/>
      <c r="F76" s="548"/>
      <c r="G76" s="550"/>
      <c r="R76" s="2080">
        <v>76</v>
      </c>
    </row>
    <row r="77" spans="1:18" s="547" customFormat="1" ht="41.25" customHeight="1">
      <c r="A77" s="3018" t="str">
        <f>'Part III-A-Uses of Funds'!$C$143</f>
        <v>&lt;&lt; Enter description here; provide detail &amp; justification in tab Part III-b &gt;&gt;</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762</v>
      </c>
      <c r="B80" s="556">
        <f>'Part III-A-Uses of Funds'!$G$143</f>
        <v>0</v>
      </c>
      <c r="C80" s="557" t="s">
        <v>719</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c r="R82" s="2080">
        <v>82</v>
      </c>
    </row>
    <row r="83" spans="4:18" s="547" customFormat="1">
      <c r="R83" s="2080">
        <v>83</v>
      </c>
    </row>
    <row r="84" spans="4:18" s="547" customFormat="1">
      <c r="R84" s="615"/>
    </row>
    <row r="85" spans="4:18" s="547" customFormat="1">
      <c r="R85" s="615"/>
    </row>
    <row r="86" spans="4:18" s="547" customFormat="1">
      <c r="R86" s="615"/>
    </row>
    <row r="87" spans="4:18" s="547" customFormat="1">
      <c r="R87" s="615"/>
    </row>
    <row r="88" spans="4:18" s="547" customFormat="1">
      <c r="R88" s="615"/>
    </row>
    <row r="89" spans="4:18" s="547" customFormat="1">
      <c r="R89" s="615"/>
    </row>
    <row r="90" spans="4:18" s="547" customFormat="1">
      <c r="R90" s="615"/>
    </row>
    <row r="91" spans="4:18" s="547" customFormat="1">
      <c r="R91" s="615"/>
    </row>
    <row r="92" spans="4:18" s="547" customFormat="1">
      <c r="R92" s="615"/>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3"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B44" sqref="B44"/>
    </sheetView>
  </sheetViews>
  <sheetFormatPr defaultColWidth="8.7109375" defaultRowHeight="12.9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25" customHeight="1">
      <c r="A1" s="3045" t="str">
        <f>CONCATENATE("PART FOUR - UTILITY ALLOWANCES","  -  ",'Part I-Project Identification'!$O$7," ",'Part I-Project Identification'!$F$26,", ",'Part I-Project Identification'!F27,", ",'Part I-Project Identification'!J27," County")</f>
        <v>PART FOUR - UTILITY ALLOWANCES  -  2024-0 Abbington Blue Ridge, Blue Ridge, Fannin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7</v>
      </c>
      <c r="C3" s="3047"/>
      <c r="D3" s="3047"/>
      <c r="E3" s="3047"/>
      <c r="F3" s="3" t="s">
        <v>769</v>
      </c>
      <c r="G3" s="77"/>
      <c r="H3" s="77"/>
      <c r="I3" s="3048" t="s">
        <v>770</v>
      </c>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771</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772</v>
      </c>
      <c r="C7" s="77"/>
      <c r="D7" s="77"/>
      <c r="E7" s="77"/>
      <c r="F7" s="43" t="s">
        <v>773</v>
      </c>
      <c r="G7" s="43"/>
      <c r="H7" s="43"/>
      <c r="I7" s="4418" t="s">
        <v>774</v>
      </c>
      <c r="J7" s="4419"/>
      <c r="K7" s="4419"/>
      <c r="L7" s="4419"/>
      <c r="M7" s="4420"/>
      <c r="N7" s="77"/>
      <c r="O7" s="626"/>
      <c r="P7" s="626"/>
      <c r="Q7" s="626"/>
      <c r="R7" s="626"/>
      <c r="S7" s="626"/>
      <c r="T7" s="626"/>
      <c r="U7" s="626"/>
      <c r="V7" s="285"/>
      <c r="W7" s="285"/>
      <c r="X7" s="285"/>
      <c r="Y7" s="285"/>
      <c r="Z7" s="77"/>
      <c r="AA7" s="2082">
        <v>7</v>
      </c>
    </row>
    <row r="8" spans="1:27" s="4" customFormat="1" ht="13.5" customHeight="1">
      <c r="A8" s="6"/>
      <c r="B8" s="77"/>
      <c r="C8" s="77"/>
      <c r="D8" s="77"/>
      <c r="E8" s="77"/>
      <c r="F8" s="43" t="s">
        <v>775</v>
      </c>
      <c r="G8" s="43"/>
      <c r="H8" s="11"/>
      <c r="I8" s="4421">
        <v>45292</v>
      </c>
      <c r="J8" s="4422"/>
      <c r="K8" s="32" t="s">
        <v>776</v>
      </c>
      <c r="L8" s="4423" t="s">
        <v>777</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778</v>
      </c>
      <c r="G10" s="3044"/>
      <c r="I10" s="3044" t="s">
        <v>779</v>
      </c>
      <c r="J10" s="3044"/>
      <c r="K10" s="3044"/>
      <c r="L10" s="3044"/>
      <c r="M10" s="3044"/>
      <c r="O10" s="626"/>
      <c r="P10" s="626"/>
      <c r="Q10" s="626"/>
      <c r="R10" s="626"/>
      <c r="S10" s="626"/>
      <c r="T10" s="626"/>
      <c r="U10" s="626"/>
      <c r="AA10" s="2082">
        <v>10</v>
      </c>
    </row>
    <row r="11" spans="1:27" s="6" customFormat="1" ht="13.5" customHeight="1">
      <c r="B11" s="6" t="s">
        <v>780</v>
      </c>
      <c r="D11" s="6" t="s">
        <v>781</v>
      </c>
      <c r="F11" s="2533" t="s">
        <v>782</v>
      </c>
      <c r="G11" s="2533" t="s">
        <v>783</v>
      </c>
      <c r="I11" s="127" t="s">
        <v>784</v>
      </c>
      <c r="J11" s="127">
        <v>1</v>
      </c>
      <c r="K11" s="127">
        <v>2</v>
      </c>
      <c r="L11" s="127">
        <v>3</v>
      </c>
      <c r="M11" s="127">
        <v>4</v>
      </c>
      <c r="O11" s="626"/>
      <c r="P11" s="626"/>
      <c r="Q11" s="626"/>
      <c r="R11" s="626"/>
      <c r="S11" s="626"/>
      <c r="T11" s="626"/>
      <c r="U11" s="626"/>
      <c r="AA11" s="2082">
        <v>11</v>
      </c>
    </row>
    <row r="12" spans="1:27" s="4" customFormat="1" ht="12" customHeight="1">
      <c r="A12" s="77"/>
      <c r="B12" s="928" t="s">
        <v>785</v>
      </c>
      <c r="C12" s="4425"/>
      <c r="D12" s="4426" t="s">
        <v>786</v>
      </c>
      <c r="E12" s="4427"/>
      <c r="F12" s="4428" t="s">
        <v>787</v>
      </c>
      <c r="G12" s="4428"/>
      <c r="H12" s="4429"/>
      <c r="I12" s="4430"/>
      <c r="J12" s="4430">
        <v>10</v>
      </c>
      <c r="K12" s="4430">
        <v>13</v>
      </c>
      <c r="L12" s="4430">
        <v>18</v>
      </c>
      <c r="M12" s="4430"/>
      <c r="N12" s="77"/>
      <c r="O12" s="626"/>
      <c r="P12" s="626"/>
      <c r="Q12" s="626"/>
      <c r="R12" s="626"/>
      <c r="S12" s="626"/>
      <c r="T12" s="626"/>
      <c r="U12" s="626"/>
      <c r="V12" s="77"/>
      <c r="W12" s="77"/>
      <c r="X12" s="77"/>
      <c r="Y12" s="77"/>
      <c r="Z12" s="77"/>
      <c r="AA12" s="2082">
        <v>12</v>
      </c>
    </row>
    <row r="13" spans="1:27" s="4" customFormat="1" ht="12" customHeight="1">
      <c r="A13" s="77"/>
      <c r="B13" s="929" t="s">
        <v>788</v>
      </c>
      <c r="C13" s="4431"/>
      <c r="D13" s="3038" t="s">
        <v>789</v>
      </c>
      <c r="E13" s="3039"/>
      <c r="F13" s="130" t="s">
        <v>787</v>
      </c>
      <c r="G13" s="130"/>
      <c r="H13" s="4432"/>
      <c r="I13" s="926"/>
      <c r="J13" s="926">
        <v>9</v>
      </c>
      <c r="K13" s="926">
        <v>11</v>
      </c>
      <c r="L13" s="4433">
        <v>13</v>
      </c>
      <c r="M13" s="4433"/>
      <c r="N13" s="77"/>
      <c r="O13" s="3040" t="s">
        <v>790</v>
      </c>
      <c r="P13" s="3040"/>
      <c r="Q13" s="3040"/>
      <c r="R13" s="77"/>
      <c r="S13" s="77"/>
      <c r="T13" s="77"/>
      <c r="U13" s="77"/>
      <c r="V13" s="77"/>
      <c r="W13" s="77"/>
      <c r="X13" s="77"/>
      <c r="Y13" s="77"/>
      <c r="Z13" s="77"/>
      <c r="AA13" s="2082">
        <v>13</v>
      </c>
    </row>
    <row r="14" spans="1:27" s="4" customFormat="1" ht="12" customHeight="1">
      <c r="A14" s="77"/>
      <c r="B14" s="930" t="s">
        <v>791</v>
      </c>
      <c r="C14" s="4434"/>
      <c r="D14" s="3038" t="s">
        <v>789</v>
      </c>
      <c r="E14" s="3039"/>
      <c r="F14" s="130" t="s">
        <v>787</v>
      </c>
      <c r="G14" s="130"/>
      <c r="H14" s="4435"/>
      <c r="I14" s="926"/>
      <c r="J14" s="926">
        <v>16</v>
      </c>
      <c r="K14" s="926">
        <v>22</v>
      </c>
      <c r="L14" s="4433">
        <v>27</v>
      </c>
      <c r="M14" s="4433"/>
      <c r="N14" s="77"/>
      <c r="O14" s="3040"/>
      <c r="P14" s="3040"/>
      <c r="Q14" s="3040"/>
      <c r="R14" s="77"/>
      <c r="S14" s="77"/>
      <c r="T14" s="77"/>
      <c r="U14" s="77"/>
      <c r="V14" s="77"/>
      <c r="W14" s="77"/>
      <c r="X14" s="77"/>
      <c r="Y14" s="77"/>
      <c r="Z14" s="77"/>
      <c r="AA14" s="2082">
        <v>14</v>
      </c>
    </row>
    <row r="15" spans="1:27" s="4" customFormat="1" ht="12" customHeight="1">
      <c r="A15" s="77"/>
      <c r="B15" s="931" t="s">
        <v>792</v>
      </c>
      <c r="C15" s="4436"/>
      <c r="D15" s="931" t="s">
        <v>789</v>
      </c>
      <c r="E15" s="4437"/>
      <c r="F15" s="130" t="s">
        <v>787</v>
      </c>
      <c r="G15" s="130"/>
      <c r="H15" s="4438"/>
      <c r="I15" s="926"/>
      <c r="J15" s="926">
        <v>7</v>
      </c>
      <c r="K15" s="926">
        <v>11</v>
      </c>
      <c r="L15" s="4433">
        <v>14</v>
      </c>
      <c r="M15" s="4433"/>
      <c r="N15" s="77"/>
      <c r="O15" s="3040"/>
      <c r="P15" s="3040"/>
      <c r="Q15" s="3040"/>
      <c r="R15" s="77"/>
      <c r="S15" s="77"/>
      <c r="T15" s="77"/>
      <c r="U15" s="77"/>
      <c r="V15" s="77"/>
      <c r="W15" s="77"/>
      <c r="X15" s="77"/>
      <c r="Y15" s="77"/>
      <c r="Z15" s="77"/>
      <c r="AA15" s="2082">
        <v>15</v>
      </c>
    </row>
    <row r="16" spans="1:27" s="4" customFormat="1" ht="12" customHeight="1">
      <c r="A16" s="77"/>
      <c r="B16" s="932" t="s">
        <v>793</v>
      </c>
      <c r="C16" s="4431"/>
      <c r="D16" s="929" t="s">
        <v>789</v>
      </c>
      <c r="E16" s="4439"/>
      <c r="F16" s="130"/>
      <c r="G16" s="130" t="s">
        <v>787</v>
      </c>
      <c r="H16" s="4432"/>
      <c r="I16" s="926"/>
      <c r="J16" s="926"/>
      <c r="K16" s="926"/>
      <c r="L16" s="4433"/>
      <c r="M16" s="4433"/>
      <c r="N16" s="77"/>
      <c r="O16" s="3040"/>
      <c r="P16" s="3040"/>
      <c r="Q16" s="3040"/>
      <c r="R16" s="77"/>
      <c r="S16" s="77"/>
      <c r="T16" s="77"/>
      <c r="U16" s="77"/>
      <c r="V16" s="77"/>
      <c r="W16" s="77"/>
      <c r="X16" s="77"/>
      <c r="Y16" s="77"/>
      <c r="Z16" s="77"/>
      <c r="AA16" s="2082">
        <v>16</v>
      </c>
    </row>
    <row r="17" spans="1:27" s="4" customFormat="1" ht="12" customHeight="1">
      <c r="A17" s="77"/>
      <c r="B17" s="932" t="s">
        <v>794</v>
      </c>
      <c r="C17" s="4431"/>
      <c r="D17" s="929" t="s">
        <v>789</v>
      </c>
      <c r="E17" s="4439"/>
      <c r="F17" s="130"/>
      <c r="G17" s="130" t="s">
        <v>787</v>
      </c>
      <c r="H17" s="4432"/>
      <c r="I17" s="926"/>
      <c r="J17" s="926"/>
      <c r="K17" s="926"/>
      <c r="L17" s="4433"/>
      <c r="M17" s="4433"/>
      <c r="N17" s="77"/>
      <c r="O17" s="3040"/>
      <c r="P17" s="3040"/>
      <c r="Q17" s="3040"/>
      <c r="R17" s="77"/>
      <c r="S17" s="77"/>
      <c r="T17" s="77"/>
      <c r="U17" s="77"/>
      <c r="V17" s="77"/>
      <c r="W17" s="77"/>
      <c r="X17" s="77"/>
      <c r="Y17" s="77"/>
      <c r="Z17" s="77"/>
      <c r="AA17" s="2082">
        <v>17</v>
      </c>
    </row>
    <row r="18" spans="1:27" s="4" customFormat="1" ht="12" customHeight="1">
      <c r="A18" s="77"/>
      <c r="B18" s="933" t="s">
        <v>795</v>
      </c>
      <c r="C18" s="4434"/>
      <c r="D18" s="930" t="s">
        <v>789</v>
      </c>
      <c r="E18" s="4439"/>
      <c r="F18" s="130" t="s">
        <v>787</v>
      </c>
      <c r="G18" s="130"/>
      <c r="H18" s="4435"/>
      <c r="I18" s="926"/>
      <c r="J18" s="926">
        <v>25</v>
      </c>
      <c r="K18" s="926">
        <v>32</v>
      </c>
      <c r="L18" s="4433">
        <v>39</v>
      </c>
      <c r="M18" s="4433"/>
      <c r="N18" s="77"/>
      <c r="O18" s="3040"/>
      <c r="P18" s="3040"/>
      <c r="Q18" s="3040"/>
      <c r="R18" s="77"/>
      <c r="S18" s="77"/>
      <c r="T18" s="77"/>
      <c r="U18" s="77"/>
      <c r="V18" s="77"/>
      <c r="W18" s="77"/>
      <c r="X18" s="77"/>
      <c r="Y18" s="77"/>
      <c r="Z18" s="77"/>
      <c r="AA18" s="2082">
        <v>18</v>
      </c>
    </row>
    <row r="19" spans="1:27" s="4" customFormat="1" ht="12" customHeight="1">
      <c r="A19" s="77"/>
      <c r="B19" s="931" t="s">
        <v>796</v>
      </c>
      <c r="C19" s="4436"/>
      <c r="D19" s="935" t="s">
        <v>797</v>
      </c>
      <c r="E19" s="890" t="s">
        <v>67</v>
      </c>
      <c r="F19" s="130" t="s">
        <v>787</v>
      </c>
      <c r="G19" s="130"/>
      <c r="H19" s="4438"/>
      <c r="I19" s="926"/>
      <c r="J19" s="926">
        <f>26+25</f>
        <v>51</v>
      </c>
      <c r="K19" s="926">
        <f>30+29</f>
        <v>59</v>
      </c>
      <c r="L19" s="4433">
        <f>36+37</f>
        <v>73</v>
      </c>
      <c r="M19" s="4433"/>
      <c r="N19" s="77"/>
      <c r="O19" s="3040"/>
      <c r="P19" s="3040"/>
      <c r="Q19" s="3040"/>
      <c r="R19" s="77"/>
      <c r="S19" s="77"/>
      <c r="T19" s="77"/>
      <c r="U19" s="77"/>
      <c r="V19" s="77"/>
      <c r="W19" s="77"/>
      <c r="X19" s="77"/>
      <c r="Y19" s="77"/>
      <c r="Z19" s="77"/>
      <c r="AA19" s="2082">
        <v>19</v>
      </c>
    </row>
    <row r="20" spans="1:27" s="4" customFormat="1" ht="12" customHeight="1">
      <c r="A20" s="77"/>
      <c r="B20" s="934" t="s">
        <v>798</v>
      </c>
      <c r="C20" s="4440"/>
      <c r="D20" s="128"/>
      <c r="E20" s="4441"/>
      <c r="F20" s="130"/>
      <c r="G20" s="130" t="s">
        <v>787</v>
      </c>
      <c r="H20" s="4432"/>
      <c r="I20" s="926"/>
      <c r="J20" s="926"/>
      <c r="K20" s="926"/>
      <c r="L20" s="4433"/>
      <c r="M20" s="4433"/>
      <c r="N20" s="77"/>
      <c r="O20" s="3040"/>
      <c r="P20" s="3040"/>
      <c r="Q20" s="3040"/>
      <c r="R20" s="77"/>
      <c r="S20" s="77"/>
      <c r="T20" s="77"/>
      <c r="U20" s="77"/>
      <c r="V20" s="77"/>
      <c r="W20" s="77"/>
      <c r="X20" s="77"/>
      <c r="Y20" s="77"/>
      <c r="Z20" s="77"/>
      <c r="AA20" s="2082">
        <v>20</v>
      </c>
    </row>
    <row r="21" spans="1:27" s="4" customFormat="1" ht="12" customHeight="1">
      <c r="A21" s="77"/>
      <c r="B21" s="934" t="s">
        <v>447</v>
      </c>
      <c r="C21" s="3041" t="s">
        <v>799</v>
      </c>
      <c r="D21" s="3042"/>
      <c r="E21" s="3043"/>
      <c r="F21" s="131" t="s">
        <v>787</v>
      </c>
      <c r="G21" s="131"/>
      <c r="H21" s="4442"/>
      <c r="I21" s="927"/>
      <c r="J21" s="927">
        <v>23</v>
      </c>
      <c r="K21" s="927">
        <v>23</v>
      </c>
      <c r="L21" s="4443">
        <v>23</v>
      </c>
      <c r="M21" s="4443"/>
      <c r="N21" s="77"/>
      <c r="O21" s="3040"/>
      <c r="P21" s="3040"/>
      <c r="Q21" s="3040"/>
      <c r="R21" s="77"/>
      <c r="S21" s="77"/>
      <c r="T21" s="77"/>
      <c r="U21" s="77"/>
      <c r="V21" s="77"/>
      <c r="W21" s="77"/>
      <c r="X21" s="77"/>
      <c r="Y21" s="77"/>
      <c r="Z21" s="77"/>
      <c r="AA21" s="2082">
        <v>21</v>
      </c>
    </row>
    <row r="22" spans="1:27" s="4" customFormat="1">
      <c r="A22" s="77"/>
      <c r="B22" s="6" t="s">
        <v>800</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141</v>
      </c>
      <c r="K22" s="2538">
        <f>IF(SUM(K12:K21)=0,0,IF(OR($D12="&lt;&lt;Select Fuel &gt;&gt;",$D13="&lt;&lt;Select Fuel &gt;&gt;",$D14="&lt;&lt;Select Fuel &gt;&gt;"),"Select Fuel",IF($E19="&lt;Select&gt;","Submeter?",SUM(K12:K21))))</f>
        <v>171</v>
      </c>
      <c r="L22" s="2538">
        <f>IF(SUM(L12:L21)=0,0,IF(OR($D12="&lt;&lt;Select Fuel &gt;&gt;",$D13="&lt;&lt;Select Fuel &gt;&gt;",$D14="&lt;&lt;Select Fuel &gt;&gt;"),"Select Fuel",IF($E19="&lt;Select&gt;","Submeter?",SUM(L12:L21))))</f>
        <v>207</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801</v>
      </c>
      <c r="C24" s="77"/>
      <c r="D24" s="77"/>
      <c r="E24" s="77"/>
      <c r="F24" s="43" t="s">
        <v>773</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5" customHeight="1">
      <c r="A25" s="6"/>
      <c r="B25" s="6"/>
      <c r="C25" s="77"/>
      <c r="D25" s="77"/>
      <c r="E25" s="77"/>
      <c r="F25" s="43" t="s">
        <v>775</v>
      </c>
      <c r="G25" s="43"/>
      <c r="H25" s="11"/>
      <c r="I25" s="4421"/>
      <c r="J25" s="4422"/>
      <c r="K25" s="32" t="s">
        <v>776</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4" t="s">
        <v>778</v>
      </c>
      <c r="G27" s="3044"/>
      <c r="I27" s="3044" t="s">
        <v>779</v>
      </c>
      <c r="J27" s="3044"/>
      <c r="K27" s="3044"/>
      <c r="L27" s="3044"/>
      <c r="M27" s="3044"/>
      <c r="O27" s="626"/>
      <c r="P27" s="626"/>
      <c r="Q27" s="626"/>
      <c r="R27" s="626"/>
      <c r="S27" s="626"/>
      <c r="T27" s="626"/>
      <c r="U27" s="626"/>
      <c r="V27" s="285"/>
      <c r="W27" s="285"/>
      <c r="X27" s="285"/>
      <c r="Y27" s="285"/>
      <c r="AA27" s="2082">
        <v>27</v>
      </c>
    </row>
    <row r="28" spans="1:27" s="6" customFormat="1">
      <c r="B28" s="6" t="s">
        <v>780</v>
      </c>
      <c r="D28" s="6" t="s">
        <v>781</v>
      </c>
      <c r="F28" s="2533" t="s">
        <v>782</v>
      </c>
      <c r="G28" s="2533" t="s">
        <v>783</v>
      </c>
      <c r="I28" s="127" t="s">
        <v>784</v>
      </c>
      <c r="J28" s="127">
        <v>1</v>
      </c>
      <c r="K28" s="127">
        <v>2</v>
      </c>
      <c r="L28" s="127">
        <v>3</v>
      </c>
      <c r="M28" s="127">
        <v>4</v>
      </c>
      <c r="O28" s="626"/>
      <c r="P28" s="626"/>
      <c r="Q28" s="626"/>
      <c r="R28" s="626"/>
      <c r="S28" s="626"/>
      <c r="T28" s="626"/>
      <c r="U28" s="626"/>
      <c r="AA28" s="2082">
        <v>28</v>
      </c>
    </row>
    <row r="29" spans="1:27" s="4" customFormat="1" ht="12" customHeight="1">
      <c r="A29" s="77"/>
      <c r="B29" s="928" t="s">
        <v>785</v>
      </c>
      <c r="C29" s="4425"/>
      <c r="D29" s="4426" t="s">
        <v>802</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788</v>
      </c>
      <c r="C30" s="4431"/>
      <c r="D30" s="3038" t="s">
        <v>802</v>
      </c>
      <c r="E30" s="3039"/>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791</v>
      </c>
      <c r="C31" s="4434"/>
      <c r="D31" s="3038" t="s">
        <v>802</v>
      </c>
      <c r="E31" s="3039"/>
      <c r="F31" s="130"/>
      <c r="G31" s="130"/>
      <c r="H31" s="4435"/>
      <c r="I31" s="926"/>
      <c r="J31" s="926"/>
      <c r="K31" s="926"/>
      <c r="L31" s="4433"/>
      <c r="M31" s="4433"/>
      <c r="N31" s="77"/>
      <c r="O31" s="3040" t="s">
        <v>790</v>
      </c>
      <c r="P31" s="3040"/>
      <c r="Q31" s="3040"/>
      <c r="R31" s="77"/>
      <c r="S31" s="77"/>
      <c r="T31" s="77"/>
      <c r="U31" s="77"/>
      <c r="V31" s="77"/>
      <c r="W31" s="77"/>
      <c r="X31" s="77"/>
      <c r="Y31" s="77"/>
      <c r="Z31" s="77"/>
      <c r="AA31" s="2082">
        <v>31</v>
      </c>
    </row>
    <row r="32" spans="1:27" s="4" customFormat="1" ht="12" customHeight="1">
      <c r="A32" s="77"/>
      <c r="B32" s="931" t="s">
        <v>792</v>
      </c>
      <c r="C32" s="4436"/>
      <c r="D32" s="931" t="s">
        <v>789</v>
      </c>
      <c r="E32" s="4437"/>
      <c r="F32" s="130"/>
      <c r="G32" s="130"/>
      <c r="H32" s="4438"/>
      <c r="I32" s="926"/>
      <c r="J32" s="926"/>
      <c r="K32" s="926"/>
      <c r="L32" s="4433"/>
      <c r="M32" s="4433"/>
      <c r="N32" s="77"/>
      <c r="O32" s="3040"/>
      <c r="P32" s="3040"/>
      <c r="Q32" s="3040"/>
      <c r="R32" s="77"/>
      <c r="S32" s="77"/>
      <c r="T32" s="77"/>
      <c r="U32" s="77"/>
      <c r="V32" s="77"/>
      <c r="W32" s="77"/>
      <c r="X32" s="77"/>
      <c r="Y32" s="77"/>
      <c r="Z32" s="77"/>
      <c r="AA32" s="2082">
        <v>32</v>
      </c>
    </row>
    <row r="33" spans="1:27" s="4" customFormat="1" ht="12" customHeight="1">
      <c r="A33" s="77"/>
      <c r="B33" s="932" t="s">
        <v>793</v>
      </c>
      <c r="C33" s="4431"/>
      <c r="D33" s="929" t="s">
        <v>789</v>
      </c>
      <c r="E33" s="4439"/>
      <c r="F33" s="130"/>
      <c r="G33" s="130"/>
      <c r="H33" s="4432"/>
      <c r="I33" s="926"/>
      <c r="J33" s="926"/>
      <c r="K33" s="926"/>
      <c r="L33" s="4433"/>
      <c r="M33" s="4433"/>
      <c r="N33" s="77"/>
      <c r="O33" s="3040"/>
      <c r="P33" s="3040"/>
      <c r="Q33" s="3040"/>
      <c r="R33" s="77"/>
      <c r="S33" s="77"/>
      <c r="T33" s="77"/>
      <c r="U33" s="77"/>
      <c r="V33" s="77"/>
      <c r="W33" s="77"/>
      <c r="X33" s="77"/>
      <c r="Y33" s="77"/>
      <c r="Z33" s="77"/>
      <c r="AA33" s="2082">
        <v>33</v>
      </c>
    </row>
    <row r="34" spans="1:27" s="4" customFormat="1" ht="12" customHeight="1">
      <c r="A34" s="77"/>
      <c r="B34" s="932" t="s">
        <v>794</v>
      </c>
      <c r="C34" s="4431"/>
      <c r="D34" s="929" t="s">
        <v>789</v>
      </c>
      <c r="E34" s="4439"/>
      <c r="F34" s="130"/>
      <c r="G34" s="130"/>
      <c r="H34" s="4432"/>
      <c r="I34" s="926"/>
      <c r="J34" s="926"/>
      <c r="K34" s="926"/>
      <c r="L34" s="4433"/>
      <c r="M34" s="4433"/>
      <c r="N34" s="77"/>
      <c r="O34" s="3040"/>
      <c r="P34" s="3040"/>
      <c r="Q34" s="3040"/>
      <c r="R34" s="77"/>
      <c r="S34" s="77"/>
      <c r="T34" s="77"/>
      <c r="U34" s="77"/>
      <c r="V34" s="77"/>
      <c r="W34" s="77"/>
      <c r="X34" s="77"/>
      <c r="Y34" s="77"/>
      <c r="Z34" s="77"/>
      <c r="AA34" s="2082">
        <v>34</v>
      </c>
    </row>
    <row r="35" spans="1:27" s="4" customFormat="1" ht="12" customHeight="1">
      <c r="A35" s="77"/>
      <c r="B35" s="933" t="s">
        <v>795</v>
      </c>
      <c r="C35" s="4434"/>
      <c r="D35" s="930" t="s">
        <v>789</v>
      </c>
      <c r="E35" s="4439"/>
      <c r="F35" s="130"/>
      <c r="G35" s="130"/>
      <c r="H35" s="4435"/>
      <c r="I35" s="926"/>
      <c r="J35" s="926"/>
      <c r="K35" s="926"/>
      <c r="L35" s="4433"/>
      <c r="M35" s="4433"/>
      <c r="N35" s="77"/>
      <c r="O35" s="3040"/>
      <c r="P35" s="3040"/>
      <c r="Q35" s="3040"/>
      <c r="R35" s="77"/>
      <c r="S35" s="77"/>
      <c r="T35" s="77"/>
      <c r="U35" s="77"/>
      <c r="V35" s="77"/>
      <c r="W35" s="77"/>
      <c r="X35" s="77"/>
      <c r="Y35" s="77"/>
      <c r="Z35" s="77"/>
      <c r="AA35" s="2082">
        <v>35</v>
      </c>
    </row>
    <row r="36" spans="1:27" s="4" customFormat="1" ht="12" customHeight="1">
      <c r="A36" s="77"/>
      <c r="B36" s="931" t="s">
        <v>796</v>
      </c>
      <c r="C36" s="4436"/>
      <c r="D36" s="935" t="s">
        <v>797</v>
      </c>
      <c r="E36" s="890" t="s">
        <v>803</v>
      </c>
      <c r="F36" s="130"/>
      <c r="G36" s="130"/>
      <c r="H36" s="4438"/>
      <c r="I36" s="926"/>
      <c r="J36" s="926"/>
      <c r="K36" s="926"/>
      <c r="L36" s="4433"/>
      <c r="M36" s="4433"/>
      <c r="N36" s="77"/>
      <c r="O36" s="3040"/>
      <c r="P36" s="3040"/>
      <c r="Q36" s="3040"/>
      <c r="R36" s="77"/>
      <c r="S36" s="77"/>
      <c r="T36" s="77"/>
      <c r="U36" s="77"/>
      <c r="V36" s="77"/>
      <c r="W36" s="77"/>
      <c r="X36" s="77"/>
      <c r="Y36" s="77"/>
      <c r="Z36" s="77"/>
      <c r="AA36" s="2082">
        <v>36</v>
      </c>
    </row>
    <row r="37" spans="1:27" s="4" customFormat="1" ht="12" customHeight="1">
      <c r="A37" s="77"/>
      <c r="B37" s="934" t="s">
        <v>798</v>
      </c>
      <c r="C37" s="4440"/>
      <c r="D37" s="128"/>
      <c r="E37" s="4441"/>
      <c r="F37" s="130"/>
      <c r="G37" s="130"/>
      <c r="H37" s="4432"/>
      <c r="I37" s="926"/>
      <c r="J37" s="926"/>
      <c r="K37" s="926"/>
      <c r="L37" s="4433"/>
      <c r="M37" s="4433"/>
      <c r="N37" s="77"/>
      <c r="O37" s="3040"/>
      <c r="P37" s="3040"/>
      <c r="Q37" s="3040"/>
      <c r="R37" s="77"/>
      <c r="S37" s="77"/>
      <c r="T37" s="77"/>
      <c r="U37" s="77"/>
      <c r="V37" s="77"/>
      <c r="W37" s="77"/>
      <c r="X37" s="77"/>
      <c r="Y37" s="77"/>
      <c r="Z37" s="77"/>
      <c r="AA37" s="2082">
        <v>37</v>
      </c>
    </row>
    <row r="38" spans="1:27" s="4" customFormat="1" ht="12" customHeight="1">
      <c r="A38" s="77"/>
      <c r="B38" s="934" t="s">
        <v>447</v>
      </c>
      <c r="C38" s="3041"/>
      <c r="D38" s="3042"/>
      <c r="E38" s="3043"/>
      <c r="F38" s="131"/>
      <c r="G38" s="131"/>
      <c r="H38" s="4442"/>
      <c r="I38" s="927"/>
      <c r="J38" s="927"/>
      <c r="K38" s="927"/>
      <c r="L38" s="4443"/>
      <c r="M38" s="4443"/>
      <c r="N38" s="77"/>
      <c r="O38" s="3040"/>
      <c r="P38" s="3040"/>
      <c r="Q38" s="3040"/>
      <c r="R38" s="77"/>
      <c r="S38" s="77"/>
      <c r="T38" s="77"/>
      <c r="U38" s="77"/>
      <c r="V38" s="77"/>
      <c r="W38" s="77"/>
      <c r="X38" s="77"/>
      <c r="Y38" s="77"/>
      <c r="Z38" s="77"/>
      <c r="AA38" s="2082">
        <v>38</v>
      </c>
    </row>
    <row r="39" spans="1:27" s="4" customFormat="1">
      <c r="A39" s="77"/>
      <c r="B39" s="6" t="s">
        <v>800</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804</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805</v>
      </c>
      <c r="C43" s="4445"/>
      <c r="D43" s="4445"/>
      <c r="E43" s="4445"/>
      <c r="F43" s="4445"/>
      <c r="G43" s="4445"/>
      <c r="H43" s="4445"/>
      <c r="I43" s="4445"/>
      <c r="J43" s="4445"/>
      <c r="K43" s="4445"/>
      <c r="L43" s="4445"/>
      <c r="M43" s="4446"/>
      <c r="N43"/>
      <c r="O43" s="2639" t="s">
        <v>302</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806</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1C3773-C752-4723-99BF-615CD2455D75}"/>
</file>

<file path=customXml/itemProps2.xml><?xml version="1.0" encoding="utf-8"?>
<ds:datastoreItem xmlns:ds="http://schemas.openxmlformats.org/officeDocument/2006/customXml" ds:itemID="{AF9A7B1F-3410-4D1D-9EEE-8BF03266901C}"/>
</file>

<file path=customXml/itemProps3.xml><?xml version="1.0" encoding="utf-8"?>
<ds:datastoreItem xmlns:ds="http://schemas.openxmlformats.org/officeDocument/2006/customXml" ds:itemID="{6D62B425-CF74-4CDB-A878-1C44F19A63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