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226D52C4-4CC8-4D56-9546-33A0C3DBAD3C}"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N232" i="110"/>
  <c r="P141" i="112"/>
  <c r="O141" i="112"/>
  <c r="P27" i="112"/>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P1372" i="121"/>
  <c r="P1369" i="121"/>
  <c r="P1347" i="121"/>
  <c r="O1347" i="121"/>
  <c r="Q1347" i="121" s="1"/>
  <c r="P1309" i="121"/>
  <c r="P1278" i="121"/>
  <c r="P1274"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7" i="121"/>
  <c r="L686" i="12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MC457" i="121" s="1"/>
  <c r="O457" i="121"/>
  <c r="MM457" i="121" s="1"/>
  <c r="P457" i="121"/>
  <c r="Q457" i="121"/>
  <c r="N458" i="121"/>
  <c r="O458" i="121"/>
  <c r="KE458" i="121" s="1"/>
  <c r="P458" i="121"/>
  <c r="Q458" i="121"/>
  <c r="N459" i="121"/>
  <c r="O459" i="121"/>
  <c r="P459" i="121"/>
  <c r="Q459" i="121"/>
  <c r="N460" i="121"/>
  <c r="MC460" i="121" s="1"/>
  <c r="O460" i="121"/>
  <c r="KW460" i="121" s="1"/>
  <c r="P460" i="121"/>
  <c r="Q460" i="121"/>
  <c r="N461" i="121"/>
  <c r="HF461" i="121" s="1"/>
  <c r="O461" i="121"/>
  <c r="ML461" i="121" s="1"/>
  <c r="P461" i="121"/>
  <c r="Q461" i="121"/>
  <c r="N462" i="121"/>
  <c r="O462" i="121"/>
  <c r="P462" i="121"/>
  <c r="Q462" i="121"/>
  <c r="N463" i="121"/>
  <c r="LW463" i="121" s="1"/>
  <c r="O463" i="121"/>
  <c r="JE463" i="121" s="1"/>
  <c r="P463" i="121"/>
  <c r="Q463" i="121"/>
  <c r="N464" i="121"/>
  <c r="GB464" i="121" s="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IC458" i="121" s="1"/>
  <c r="F458" i="121"/>
  <c r="G458" i="121"/>
  <c r="H458" i="121"/>
  <c r="I458" i="121"/>
  <c r="C459" i="121"/>
  <c r="D459" i="121"/>
  <c r="E459" i="121"/>
  <c r="F459" i="121"/>
  <c r="G459" i="121"/>
  <c r="H459" i="121"/>
  <c r="I459" i="121"/>
  <c r="C460" i="121"/>
  <c r="D460" i="121"/>
  <c r="E460" i="121"/>
  <c r="F460" i="121"/>
  <c r="EU460" i="121" s="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LM460" i="121" s="1"/>
  <c r="B461" i="121"/>
  <c r="B462" i="121"/>
  <c r="HO462" i="121" s="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301" i="121" s="1"/>
  <c r="E218" i="121" s="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J245" i="121" s="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LS464" i="121"/>
  <c r="LG464" i="121"/>
  <c r="HX464" i="121"/>
  <c r="HL464" i="121"/>
  <c r="GZ464" i="121"/>
  <c r="DH464" i="121"/>
  <c r="CV464" i="121"/>
  <c r="CJ464" i="121"/>
  <c r="BX464" i="121"/>
  <c r="BL464" i="121"/>
  <c r="MC463" i="121"/>
  <c r="MB463" i="121"/>
  <c r="LQ463" i="121"/>
  <c r="LP463" i="121"/>
  <c r="JU463" i="121"/>
  <c r="HV463" i="121"/>
  <c r="HU463" i="121"/>
  <c r="HJ463" i="121"/>
  <c r="HI463" i="121"/>
  <c r="GX463" i="121"/>
  <c r="GW463" i="121"/>
  <c r="GL463" i="121"/>
  <c r="GK463" i="121"/>
  <c r="FZ463" i="121"/>
  <c r="FY463" i="121"/>
  <c r="FN463" i="121"/>
  <c r="FM463" i="121"/>
  <c r="FB463" i="121"/>
  <c r="FA463" i="121"/>
  <c r="EP463" i="121"/>
  <c r="EO463" i="121"/>
  <c r="ED463" i="121"/>
  <c r="EC463" i="121"/>
  <c r="DR463" i="121"/>
  <c r="DQ463" i="121"/>
  <c r="DF463" i="121"/>
  <c r="DE463" i="121"/>
  <c r="CT463" i="121"/>
  <c r="CS463" i="121"/>
  <c r="CH463" i="121"/>
  <c r="CG463" i="121"/>
  <c r="BV463" i="121"/>
  <c r="BU463" i="121"/>
  <c r="BJ463" i="121"/>
  <c r="BI463" i="121"/>
  <c r="AX463" i="121"/>
  <c r="AW463" i="121"/>
  <c r="AL463" i="121"/>
  <c r="AK463" i="121"/>
  <c r="Z463" i="121"/>
  <c r="Y463" i="121"/>
  <c r="MK462" i="121"/>
  <c r="LM462" i="121"/>
  <c r="IF462" i="121"/>
  <c r="IA462" i="121"/>
  <c r="GU462" i="121"/>
  <c r="GQ462" i="121"/>
  <c r="GE462" i="121"/>
  <c r="FW462" i="121"/>
  <c r="EA462" i="121"/>
  <c r="DW462" i="121"/>
  <c r="DC462" i="121"/>
  <c r="BG462" i="121"/>
  <c r="BC462" i="121"/>
  <c r="AI462" i="121"/>
  <c r="MM461" i="121"/>
  <c r="LZ461" i="121"/>
  <c r="LR461" i="121"/>
  <c r="LJ461" i="121"/>
  <c r="KJ461" i="121"/>
  <c r="JD461" i="121"/>
  <c r="HV461" i="121"/>
  <c r="GX461" i="121"/>
  <c r="GS461" i="121"/>
  <c r="GO461" i="121"/>
  <c r="GK461" i="121"/>
  <c r="GG461" i="121"/>
  <c r="GF461" i="121"/>
  <c r="GE461" i="121"/>
  <c r="GD461" i="121"/>
  <c r="GC461" i="121"/>
  <c r="GB461" i="121"/>
  <c r="FY461" i="121"/>
  <c r="FX461" i="121"/>
  <c r="FW461" i="121"/>
  <c r="FU461" i="121"/>
  <c r="FQ461" i="121"/>
  <c r="FM461" i="121"/>
  <c r="FI461" i="121"/>
  <c r="FE461" i="121"/>
  <c r="FA461" i="121"/>
  <c r="EW461" i="121"/>
  <c r="EK461" i="121"/>
  <c r="EH461" i="121"/>
  <c r="EG461" i="121"/>
  <c r="EF461" i="121"/>
  <c r="EE461" i="121"/>
  <c r="ED461" i="121"/>
  <c r="EC461" i="121"/>
  <c r="DY461" i="121"/>
  <c r="DU461" i="121"/>
  <c r="DQ461" i="121"/>
  <c r="DE461" i="121"/>
  <c r="DA461" i="121"/>
  <c r="CW461" i="121"/>
  <c r="CS461" i="121"/>
  <c r="CO461" i="121"/>
  <c r="CK461" i="121"/>
  <c r="CG461" i="121"/>
  <c r="CC461" i="121"/>
  <c r="BY461" i="121"/>
  <c r="BU461" i="121"/>
  <c r="BI461" i="121"/>
  <c r="BE461" i="121"/>
  <c r="BA461" i="121"/>
  <c r="AW461" i="121"/>
  <c r="AS461" i="121"/>
  <c r="AO461" i="121"/>
  <c r="AK461" i="121"/>
  <c r="AG461" i="121"/>
  <c r="AC461" i="121"/>
  <c r="Y461" i="121"/>
  <c r="MO460" i="121"/>
  <c r="HW460" i="121"/>
  <c r="HO460" i="121"/>
  <c r="FC460" i="121"/>
  <c r="CI460" i="121"/>
  <c r="CA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KJ458" i="121"/>
  <c r="IS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O458" i="121"/>
  <c r="AN458" i="121"/>
  <c r="AM458" i="121"/>
  <c r="AL458" i="121"/>
  <c r="AK458" i="121"/>
  <c r="AJ458" i="121"/>
  <c r="AI458" i="121"/>
  <c r="AH458" i="121"/>
  <c r="AG458" i="121"/>
  <c r="AF458" i="121"/>
  <c r="AE458" i="121"/>
  <c r="AD458" i="121"/>
  <c r="AC458" i="121"/>
  <c r="AB458" i="121"/>
  <c r="AA458" i="121"/>
  <c r="Z458" i="121"/>
  <c r="Y458" i="121"/>
  <c r="X458" i="121"/>
  <c r="MN457" i="121"/>
  <c r="KO457" i="121"/>
  <c r="JS457" i="121"/>
  <c r="ID457" i="121"/>
  <c r="HZ457" i="121"/>
  <c r="HI457" i="121"/>
  <c r="HE457" i="121"/>
  <c r="GB457" i="121"/>
  <c r="GA457" i="121"/>
  <c r="EW457" i="121"/>
  <c r="ES457" i="121"/>
  <c r="DQ457" i="121"/>
  <c r="DM457" i="121"/>
  <c r="BU457" i="121"/>
  <c r="BQ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M299" i="121"/>
  <c r="S297" i="121"/>
  <c r="J292" i="121"/>
  <c r="N289" i="121"/>
  <c r="J289" i="121"/>
  <c r="S254" i="121"/>
  <c r="P254" i="121"/>
  <c r="M254" i="121"/>
  <c r="J254" i="121"/>
  <c r="G254" i="121"/>
  <c r="O251" i="121"/>
  <c r="P245"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G237" i="121" l="1"/>
  <c r="GJ458" i="121"/>
  <c r="FA458" i="121"/>
  <c r="AP458" i="121"/>
  <c r="J237" i="121"/>
  <c r="L683" i="121"/>
  <c r="MG462" i="121"/>
  <c r="IA457" i="121"/>
  <c r="MO457" i="121"/>
  <c r="KO458" i="121"/>
  <c r="JL461" i="121"/>
  <c r="KK463" i="121"/>
  <c r="IB457" i="121"/>
  <c r="KD457" i="121"/>
  <c r="MT457" i="121"/>
  <c r="II458" i="121"/>
  <c r="KU458" i="121"/>
  <c r="JT461" i="121"/>
  <c r="MO461" i="121"/>
  <c r="LA463" i="121"/>
  <c r="JY457" i="121"/>
  <c r="ID458" i="121"/>
  <c r="MN461" i="121"/>
  <c r="IC457" i="121"/>
  <c r="KI457" i="121"/>
  <c r="IN458" i="121"/>
  <c r="KZ458" i="121"/>
  <c r="KB461" i="121"/>
  <c r="HZ461" i="121"/>
  <c r="IA461" i="121"/>
  <c r="HZ463" i="121"/>
  <c r="IM457" i="121"/>
  <c r="KY457" i="121"/>
  <c r="JD458" i="121"/>
  <c r="IB461" i="121"/>
  <c r="KZ461" i="121"/>
  <c r="IA463" i="121"/>
  <c r="KT457" i="121"/>
  <c r="IS457" i="121"/>
  <c r="LE457" i="121"/>
  <c r="JI458" i="121"/>
  <c r="IC461" i="121"/>
  <c r="IB463" i="121"/>
  <c r="ML463" i="121"/>
  <c r="MN460" i="121"/>
  <c r="IH457" i="121"/>
  <c r="IX457" i="121"/>
  <c r="MF457" i="121"/>
  <c r="JO458" i="121"/>
  <c r="ID461" i="121"/>
  <c r="IC463" i="121"/>
  <c r="MM463" i="121"/>
  <c r="MK463" i="121"/>
  <c r="IY458" i="121"/>
  <c r="KR461" i="121"/>
  <c r="JC457" i="121"/>
  <c r="MK457" i="121"/>
  <c r="HZ458" i="121"/>
  <c r="JT458" i="121"/>
  <c r="IA460" i="121"/>
  <c r="IF461" i="121"/>
  <c r="ID463" i="121"/>
  <c r="JI457" i="121"/>
  <c r="ML457" i="121"/>
  <c r="IA458" i="121"/>
  <c r="JY458" i="121"/>
  <c r="JQ460" i="121"/>
  <c r="IN461" i="121"/>
  <c r="MK461" i="121"/>
  <c r="IO463" i="121"/>
  <c r="LE458" i="121"/>
  <c r="JN457" i="121"/>
  <c r="IB458" i="121"/>
  <c r="IV461" i="121"/>
  <c r="BA457" i="121"/>
  <c r="CW457" i="121"/>
  <c r="EG457" i="121"/>
  <c r="FW457" i="121"/>
  <c r="GO457" i="121"/>
  <c r="BC460" i="121"/>
  <c r="DW460" i="121"/>
  <c r="GQ460" i="121"/>
  <c r="BQ461" i="121"/>
  <c r="DM461" i="121"/>
  <c r="ES461" i="121"/>
  <c r="GA461" i="121"/>
  <c r="HN461" i="121"/>
  <c r="AG463" i="121"/>
  <c r="AS463" i="121"/>
  <c r="BE463" i="121"/>
  <c r="BQ463" i="121"/>
  <c r="CC463" i="121"/>
  <c r="CO463" i="121"/>
  <c r="DA463" i="121"/>
  <c r="DM463" i="121"/>
  <c r="DY463" i="121"/>
  <c r="EK463" i="121"/>
  <c r="EW463" i="121"/>
  <c r="FI463" i="121"/>
  <c r="FU463" i="121"/>
  <c r="GG463" i="121"/>
  <c r="GS463" i="121"/>
  <c r="HE463" i="121"/>
  <c r="HQ463" i="121"/>
  <c r="LL463" i="121"/>
  <c r="LX463" i="121"/>
  <c r="AZ464" i="121"/>
  <c r="GN464" i="121"/>
  <c r="BE457" i="121"/>
  <c r="DA457" i="121"/>
  <c r="EH457" i="121"/>
  <c r="FX457" i="121"/>
  <c r="GS457" i="121"/>
  <c r="BK460" i="121"/>
  <c r="EE460" i="121"/>
  <c r="GY460" i="121"/>
  <c r="AH463" i="121"/>
  <c r="AT463" i="121"/>
  <c r="BF463" i="121"/>
  <c r="BR463" i="121"/>
  <c r="CD463" i="121"/>
  <c r="CP463" i="121"/>
  <c r="DB463" i="121"/>
  <c r="DN463" i="121"/>
  <c r="DZ463" i="121"/>
  <c r="EL463" i="121"/>
  <c r="EX463" i="121"/>
  <c r="FJ463" i="121"/>
  <c r="FV463" i="121"/>
  <c r="GH463" i="121"/>
  <c r="GT463" i="121"/>
  <c r="HF463" i="121"/>
  <c r="HR463" i="121"/>
  <c r="LM463" i="121"/>
  <c r="LY463" i="121"/>
  <c r="BI457" i="121"/>
  <c r="DE457" i="121"/>
  <c r="EK457" i="121"/>
  <c r="FY457" i="121"/>
  <c r="GW457" i="121"/>
  <c r="BO460" i="121"/>
  <c r="EI460" i="121"/>
  <c r="HC460" i="121"/>
  <c r="AI463" i="121"/>
  <c r="AU463" i="121"/>
  <c r="BG463" i="121"/>
  <c r="BS463" i="121"/>
  <c r="CE463" i="121"/>
  <c r="CQ463" i="121"/>
  <c r="DC463" i="121"/>
  <c r="DO463" i="121"/>
  <c r="EA463" i="121"/>
  <c r="EM463" i="121"/>
  <c r="EY463" i="121"/>
  <c r="FK463" i="121"/>
  <c r="FW463" i="121"/>
  <c r="GI463" i="121"/>
  <c r="GU463" i="121"/>
  <c r="HG463" i="121"/>
  <c r="HS463" i="121"/>
  <c r="LN463" i="121"/>
  <c r="LZ463" i="121"/>
  <c r="BM457" i="121"/>
  <c r="DI457" i="121"/>
  <c r="EO457" i="121"/>
  <c r="FZ457" i="121"/>
  <c r="HA457" i="121"/>
  <c r="BW460" i="121"/>
  <c r="EQ460" i="121"/>
  <c r="HK460" i="121"/>
  <c r="X463" i="121"/>
  <c r="AJ463" i="121"/>
  <c r="AV463" i="121"/>
  <c r="BH463" i="121"/>
  <c r="BT463" i="121"/>
  <c r="CF463" i="121"/>
  <c r="CR463" i="121"/>
  <c r="DD463" i="121"/>
  <c r="DP463" i="121"/>
  <c r="EB463" i="121"/>
  <c r="EN463" i="121"/>
  <c r="EZ463" i="121"/>
  <c r="FL463" i="121"/>
  <c r="FX463" i="121"/>
  <c r="GJ463" i="121"/>
  <c r="GV463" i="121"/>
  <c r="HH463" i="121"/>
  <c r="HT463" i="121"/>
  <c r="LO463" i="121"/>
  <c r="MA463" i="121"/>
  <c r="LZ464" i="121"/>
  <c r="AC457" i="121"/>
  <c r="BY457" i="121"/>
  <c r="DU457" i="121"/>
  <c r="FA457" i="121"/>
  <c r="GC457" i="121"/>
  <c r="HM457" i="121"/>
  <c r="LI457" i="121"/>
  <c r="CM460" i="121"/>
  <c r="FG460" i="121"/>
  <c r="AA463" i="121"/>
  <c r="AM463" i="121"/>
  <c r="AY463" i="121"/>
  <c r="BK463" i="121"/>
  <c r="BW463" i="121"/>
  <c r="CI463" i="121"/>
  <c r="CU463" i="121"/>
  <c r="DG463" i="121"/>
  <c r="DS463" i="121"/>
  <c r="EE463" i="121"/>
  <c r="EQ463" i="121"/>
  <c r="FC463" i="121"/>
  <c r="FO463" i="121"/>
  <c r="GA463" i="121"/>
  <c r="GM463" i="121"/>
  <c r="GY463" i="121"/>
  <c r="HK463" i="121"/>
  <c r="HW463" i="121"/>
  <c r="LR463" i="121"/>
  <c r="MD463" i="121"/>
  <c r="DT464" i="121"/>
  <c r="ME464" i="121"/>
  <c r="AG457" i="121"/>
  <c r="CC457" i="121"/>
  <c r="DY457" i="121"/>
  <c r="FE457" i="121"/>
  <c r="GD457" i="121"/>
  <c r="HQ457" i="121"/>
  <c r="LM457" i="121"/>
  <c r="AA460" i="121"/>
  <c r="CU460" i="121"/>
  <c r="FO460" i="121"/>
  <c r="AB463" i="121"/>
  <c r="AN463" i="121"/>
  <c r="AZ463" i="121"/>
  <c r="BL463" i="121"/>
  <c r="BX463" i="121"/>
  <c r="CJ463" i="121"/>
  <c r="CV463" i="121"/>
  <c r="DH463" i="121"/>
  <c r="DT463" i="121"/>
  <c r="EF463" i="121"/>
  <c r="ER463" i="121"/>
  <c r="FD463" i="121"/>
  <c r="FP463" i="121"/>
  <c r="GB463" i="121"/>
  <c r="GN463" i="121"/>
  <c r="GZ463" i="121"/>
  <c r="HL463" i="121"/>
  <c r="HX463" i="121"/>
  <c r="LG463" i="121"/>
  <c r="LS463" i="121"/>
  <c r="ME463" i="121"/>
  <c r="EF464" i="121"/>
  <c r="MB457" i="121"/>
  <c r="AK457" i="121"/>
  <c r="CG457" i="121"/>
  <c r="EC457" i="121"/>
  <c r="FI457" i="121"/>
  <c r="GE457" i="121"/>
  <c r="HU457" i="121"/>
  <c r="LQ457" i="121"/>
  <c r="AE460" i="121"/>
  <c r="CY460" i="121"/>
  <c r="FS460" i="121"/>
  <c r="AC463" i="121"/>
  <c r="AO463" i="121"/>
  <c r="BA463" i="121"/>
  <c r="BM463" i="121"/>
  <c r="BY463" i="121"/>
  <c r="CK463" i="121"/>
  <c r="CW463" i="121"/>
  <c r="DI463" i="121"/>
  <c r="DU463" i="121"/>
  <c r="EG463" i="121"/>
  <c r="ES463" i="121"/>
  <c r="FE463" i="121"/>
  <c r="FQ463" i="121"/>
  <c r="GC463" i="121"/>
  <c r="GO463" i="121"/>
  <c r="HA463" i="121"/>
  <c r="HM463" i="121"/>
  <c r="HY463" i="121"/>
  <c r="LH463" i="121"/>
  <c r="LT463" i="121"/>
  <c r="ER464" i="121"/>
  <c r="AO457" i="121"/>
  <c r="CK457" i="121"/>
  <c r="ED457" i="121"/>
  <c r="FM457" i="121"/>
  <c r="GF457" i="121"/>
  <c r="HY457" i="121"/>
  <c r="LU457" i="121"/>
  <c r="AM460" i="121"/>
  <c r="DG460" i="121"/>
  <c r="GA460" i="121"/>
  <c r="LQ460" i="121"/>
  <c r="AD463" i="121"/>
  <c r="AP463" i="121"/>
  <c r="BB463" i="121"/>
  <c r="BN463" i="121"/>
  <c r="BZ463" i="121"/>
  <c r="CL463" i="121"/>
  <c r="CX463" i="121"/>
  <c r="DJ463" i="121"/>
  <c r="DV463" i="121"/>
  <c r="EH463" i="121"/>
  <c r="ET463" i="121"/>
  <c r="FF463" i="121"/>
  <c r="FR463" i="121"/>
  <c r="GD463" i="121"/>
  <c r="GP463" i="121"/>
  <c r="HB463" i="121"/>
  <c r="HN463" i="121"/>
  <c r="LI463" i="121"/>
  <c r="LU463" i="121"/>
  <c r="FD464" i="121"/>
  <c r="AS457" i="121"/>
  <c r="CO457" i="121"/>
  <c r="EE457" i="121"/>
  <c r="FQ457" i="121"/>
  <c r="GG457" i="121"/>
  <c r="LY457" i="121"/>
  <c r="AQ460" i="121"/>
  <c r="DK460" i="121"/>
  <c r="GE460" i="121"/>
  <c r="LY460" i="121"/>
  <c r="AE463" i="121"/>
  <c r="AQ463" i="121"/>
  <c r="BC463" i="121"/>
  <c r="BO463" i="121"/>
  <c r="CA463" i="121"/>
  <c r="CM463" i="121"/>
  <c r="CY463" i="121"/>
  <c r="DK463" i="121"/>
  <c r="DW463" i="121"/>
  <c r="EI463" i="121"/>
  <c r="EU463" i="121"/>
  <c r="FG463" i="121"/>
  <c r="FS463" i="121"/>
  <c r="GE463" i="121"/>
  <c r="GQ463" i="121"/>
  <c r="HC463" i="121"/>
  <c r="HO463" i="121"/>
  <c r="LJ463" i="121"/>
  <c r="LV463" i="121"/>
  <c r="AB464" i="121"/>
  <c r="FP464" i="121"/>
  <c r="AW457" i="121"/>
  <c r="CS457" i="121"/>
  <c r="EF457" i="121"/>
  <c r="FU457" i="121"/>
  <c r="GK457" i="121"/>
  <c r="AY460" i="121"/>
  <c r="DS460" i="121"/>
  <c r="GM460" i="121"/>
  <c r="BM461" i="121"/>
  <c r="DI461" i="121"/>
  <c r="EO461" i="121"/>
  <c r="FZ461" i="121"/>
  <c r="AF463" i="121"/>
  <c r="AR463" i="121"/>
  <c r="BD463" i="121"/>
  <c r="BP463" i="121"/>
  <c r="CB463" i="121"/>
  <c r="CN463" i="121"/>
  <c r="CZ463" i="121"/>
  <c r="DL463" i="121"/>
  <c r="DX463" i="121"/>
  <c r="EJ463" i="121"/>
  <c r="EV463" i="121"/>
  <c r="FH463" i="121"/>
  <c r="FT463" i="121"/>
  <c r="GF463" i="121"/>
  <c r="GR463" i="121"/>
  <c r="HD463" i="121"/>
  <c r="HP463" i="121"/>
  <c r="LK463" i="121"/>
  <c r="AN464" i="121"/>
  <c r="ET459" i="121"/>
  <c r="K412" i="121"/>
  <c r="J412" i="121"/>
  <c r="CE462" i="121"/>
  <c r="EY462" i="121"/>
  <c r="HS462" i="121"/>
  <c r="CM462" i="121"/>
  <c r="FG462" i="121"/>
  <c r="CQ462" i="121"/>
  <c r="FK462" i="121"/>
  <c r="AE462" i="121"/>
  <c r="CY462" i="121"/>
  <c r="FS462" i="121"/>
  <c r="LI462" i="121"/>
  <c r="AQ462" i="121"/>
  <c r="DK462" i="121"/>
  <c r="LU462" i="121"/>
  <c r="AU462" i="121"/>
  <c r="DO462" i="121"/>
  <c r="GI462" i="121"/>
  <c r="LY462" i="121"/>
  <c r="BO462" i="121"/>
  <c r="EI462" i="121"/>
  <c r="HC462" i="121"/>
  <c r="BS462" i="121"/>
  <c r="EM462" i="121"/>
  <c r="HG462" i="121"/>
  <c r="CA462" i="121"/>
  <c r="EU462" i="121"/>
  <c r="AJ464" i="121"/>
  <c r="CF464" i="121"/>
  <c r="DP464" i="121"/>
  <c r="EZ464" i="121"/>
  <c r="GJ464" i="121"/>
  <c r="HT464" i="121"/>
  <c r="LO464" i="121"/>
  <c r="Y464" i="121"/>
  <c r="AK464" i="121"/>
  <c r="AW464" i="121"/>
  <c r="BI464" i="121"/>
  <c r="BU464" i="121"/>
  <c r="CG464" i="121"/>
  <c r="CS464" i="121"/>
  <c r="DE464" i="121"/>
  <c r="DQ464" i="121"/>
  <c r="EC464" i="121"/>
  <c r="EO464" i="121"/>
  <c r="FA464" i="121"/>
  <c r="FM464" i="121"/>
  <c r="FY464" i="121"/>
  <c r="GK464" i="121"/>
  <c r="GW464" i="121"/>
  <c r="HI464" i="121"/>
  <c r="HU464" i="121"/>
  <c r="JY464" i="121"/>
  <c r="LP464" i="121"/>
  <c r="MB464" i="121"/>
  <c r="AV464" i="121"/>
  <c r="BT464" i="121"/>
  <c r="DD464" i="121"/>
  <c r="EN464" i="121"/>
  <c r="FX464" i="121"/>
  <c r="HH464" i="121"/>
  <c r="MA464" i="121"/>
  <c r="Z464" i="121"/>
  <c r="AL464" i="121"/>
  <c r="AX464" i="121"/>
  <c r="BJ464" i="121"/>
  <c r="BV464" i="121"/>
  <c r="CH464" i="121"/>
  <c r="CT464" i="121"/>
  <c r="DF464" i="121"/>
  <c r="DR464" i="121"/>
  <c r="ED464" i="121"/>
  <c r="EP464" i="121"/>
  <c r="FB464" i="121"/>
  <c r="FN464" i="121"/>
  <c r="FZ464" i="121"/>
  <c r="GL464" i="121"/>
  <c r="GX464" i="121"/>
  <c r="HJ464" i="121"/>
  <c r="HV464" i="121"/>
  <c r="KO464" i="121"/>
  <c r="LQ464" i="121"/>
  <c r="MC464" i="121"/>
  <c r="X464" i="121"/>
  <c r="BH464" i="121"/>
  <c r="CR464" i="121"/>
  <c r="EB464" i="121"/>
  <c r="FL464" i="121"/>
  <c r="GV464" i="121"/>
  <c r="JI464" i="121"/>
  <c r="AA464" i="121"/>
  <c r="AM464" i="121"/>
  <c r="AY464" i="121"/>
  <c r="BK464" i="121"/>
  <c r="BW464" i="121"/>
  <c r="CI464" i="121"/>
  <c r="CU464" i="121"/>
  <c r="DG464" i="121"/>
  <c r="DS464" i="121"/>
  <c r="EE464" i="121"/>
  <c r="EQ464" i="121"/>
  <c r="FC464" i="121"/>
  <c r="FO464" i="121"/>
  <c r="GA464" i="121"/>
  <c r="GM464" i="121"/>
  <c r="GY464" i="121"/>
  <c r="HK464" i="121"/>
  <c r="HW464" i="121"/>
  <c r="LE464" i="121"/>
  <c r="LR464" i="121"/>
  <c r="MD464" i="121"/>
  <c r="AC464" i="121"/>
  <c r="AO464" i="121"/>
  <c r="BA464" i="121"/>
  <c r="BY464" i="121"/>
  <c r="CK464" i="121"/>
  <c r="CW464" i="121"/>
  <c r="DI464" i="121"/>
  <c r="DU464" i="121"/>
  <c r="EG464" i="121"/>
  <c r="ES464" i="121"/>
  <c r="FE464" i="121"/>
  <c r="FQ464" i="121"/>
  <c r="GC464" i="121"/>
  <c r="GO464" i="121"/>
  <c r="HA464" i="121"/>
  <c r="HM464" i="121"/>
  <c r="HY464" i="121"/>
  <c r="LT464" i="121"/>
  <c r="MK464" i="121"/>
  <c r="AD464" i="121"/>
  <c r="AP464" i="121"/>
  <c r="BB464" i="121"/>
  <c r="BN464" i="121"/>
  <c r="BZ464" i="121"/>
  <c r="CL464" i="121"/>
  <c r="CX464" i="121"/>
  <c r="DJ464" i="121"/>
  <c r="DV464" i="121"/>
  <c r="EH464" i="121"/>
  <c r="ET464" i="121"/>
  <c r="FF464" i="121"/>
  <c r="FR464" i="121"/>
  <c r="GD464" i="121"/>
  <c r="GP464" i="121"/>
  <c r="HB464" i="121"/>
  <c r="HN464" i="121"/>
  <c r="HZ464" i="121"/>
  <c r="LI464" i="121"/>
  <c r="LU464" i="121"/>
  <c r="ML464" i="121"/>
  <c r="BM464" i="121"/>
  <c r="LH464" i="121"/>
  <c r="AE464" i="121"/>
  <c r="AQ464" i="121"/>
  <c r="BC464" i="121"/>
  <c r="BO464" i="121"/>
  <c r="CA464" i="121"/>
  <c r="CM464" i="121"/>
  <c r="CY464" i="121"/>
  <c r="DK464" i="121"/>
  <c r="DW464" i="121"/>
  <c r="EI464" i="121"/>
  <c r="EU464" i="121"/>
  <c r="FG464" i="121"/>
  <c r="FS464" i="121"/>
  <c r="GE464" i="121"/>
  <c r="GQ464" i="121"/>
  <c r="HC464" i="121"/>
  <c r="HO464" i="121"/>
  <c r="IA464" i="121"/>
  <c r="LJ464" i="121"/>
  <c r="LV464" i="121"/>
  <c r="MM464" i="121"/>
  <c r="AF464" i="121"/>
  <c r="AR464" i="121"/>
  <c r="BD464" i="121"/>
  <c r="BP464" i="121"/>
  <c r="CB464" i="121"/>
  <c r="CN464" i="121"/>
  <c r="CZ464" i="121"/>
  <c r="DL464" i="121"/>
  <c r="DX464" i="121"/>
  <c r="EJ464" i="121"/>
  <c r="EV464" i="121"/>
  <c r="FH464" i="121"/>
  <c r="FT464" i="121"/>
  <c r="GF464" i="121"/>
  <c r="GR464" i="121"/>
  <c r="HD464" i="121"/>
  <c r="HP464" i="121"/>
  <c r="IB464" i="121"/>
  <c r="LK464" i="121"/>
  <c r="LW464" i="121"/>
  <c r="MN464" i="121"/>
  <c r="AG464" i="121"/>
  <c r="AS464" i="121"/>
  <c r="BE464" i="121"/>
  <c r="BQ464" i="121"/>
  <c r="CC464" i="121"/>
  <c r="CO464" i="121"/>
  <c r="DA464" i="121"/>
  <c r="DM464" i="121"/>
  <c r="DY464" i="121"/>
  <c r="EK464" i="121"/>
  <c r="EW464" i="121"/>
  <c r="FI464" i="121"/>
  <c r="FU464" i="121"/>
  <c r="GG464" i="121"/>
  <c r="GS464" i="121"/>
  <c r="HE464" i="121"/>
  <c r="HQ464" i="121"/>
  <c r="IC464" i="121"/>
  <c r="LL464" i="121"/>
  <c r="LX464" i="121"/>
  <c r="MO464" i="121"/>
  <c r="AH464" i="121"/>
  <c r="AT464" i="121"/>
  <c r="BF464" i="121"/>
  <c r="BR464" i="121"/>
  <c r="CD464" i="121"/>
  <c r="CP464" i="121"/>
  <c r="DB464" i="121"/>
  <c r="DN464" i="121"/>
  <c r="DZ464" i="121"/>
  <c r="EL464" i="121"/>
  <c r="EX464" i="121"/>
  <c r="FJ464" i="121"/>
  <c r="FV464" i="121"/>
  <c r="GH464" i="121"/>
  <c r="GT464" i="121"/>
  <c r="HF464" i="121"/>
  <c r="HR464" i="121"/>
  <c r="ID464" i="121"/>
  <c r="LM464" i="121"/>
  <c r="LY464" i="121"/>
  <c r="MS464" i="121"/>
  <c r="AI464" i="121"/>
  <c r="AU464" i="121"/>
  <c r="BG464" i="121"/>
  <c r="BS464" i="121"/>
  <c r="CE464" i="121"/>
  <c r="CQ464" i="121"/>
  <c r="DC464" i="121"/>
  <c r="DO464" i="121"/>
  <c r="EA464" i="121"/>
  <c r="EM464" i="121"/>
  <c r="EY464" i="121"/>
  <c r="FK464" i="121"/>
  <c r="FW464" i="121"/>
  <c r="GI464" i="121"/>
  <c r="GU464" i="121"/>
  <c r="HG464" i="121"/>
  <c r="HS464" i="121"/>
  <c r="IS464" i="121"/>
  <c r="LN464" i="121"/>
  <c r="AF462" i="121"/>
  <c r="AR462" i="121"/>
  <c r="BD462" i="121"/>
  <c r="BP462" i="121"/>
  <c r="CB462" i="121"/>
  <c r="CN462" i="121"/>
  <c r="CZ462" i="121"/>
  <c r="DL462" i="121"/>
  <c r="DX462" i="121"/>
  <c r="EJ462" i="121"/>
  <c r="EV462" i="121"/>
  <c r="FH462" i="121"/>
  <c r="FT462" i="121"/>
  <c r="GF462" i="121"/>
  <c r="GR462" i="121"/>
  <c r="HD462" i="121"/>
  <c r="HP462" i="121"/>
  <c r="IB462" i="121"/>
  <c r="LJ462" i="121"/>
  <c r="LV462" i="121"/>
  <c r="ML462" i="121"/>
  <c r="AG462" i="121"/>
  <c r="AS462" i="121"/>
  <c r="BE462" i="121"/>
  <c r="BQ462" i="121"/>
  <c r="CC462" i="121"/>
  <c r="CO462" i="121"/>
  <c r="DA462" i="121"/>
  <c r="DM462" i="121"/>
  <c r="DY462" i="121"/>
  <c r="EK462" i="121"/>
  <c r="EW462" i="121"/>
  <c r="FI462" i="121"/>
  <c r="FU462" i="121"/>
  <c r="GG462" i="121"/>
  <c r="GS462" i="121"/>
  <c r="HE462" i="121"/>
  <c r="HQ462" i="121"/>
  <c r="IC462" i="121"/>
  <c r="LK462" i="121"/>
  <c r="LW462" i="121"/>
  <c r="MN462" i="121"/>
  <c r="MO462" i="121"/>
  <c r="AH462" i="121"/>
  <c r="AT462" i="121"/>
  <c r="BF462" i="121"/>
  <c r="BR462" i="121"/>
  <c r="CD462" i="121"/>
  <c r="CP462" i="121"/>
  <c r="DB462" i="121"/>
  <c r="DN462" i="121"/>
  <c r="DZ462" i="121"/>
  <c r="EL462" i="121"/>
  <c r="EX462" i="121"/>
  <c r="FJ462" i="121"/>
  <c r="FV462" i="121"/>
  <c r="GH462" i="121"/>
  <c r="GT462" i="121"/>
  <c r="HF462" i="121"/>
  <c r="HR462" i="121"/>
  <c r="ID462" i="121"/>
  <c r="LL462" i="121"/>
  <c r="LX462" i="121"/>
  <c r="X462" i="121"/>
  <c r="AJ462" i="121"/>
  <c r="AV462" i="121"/>
  <c r="BH462" i="121"/>
  <c r="BT462" i="121"/>
  <c r="CF462" i="121"/>
  <c r="CR462" i="121"/>
  <c r="DD462" i="121"/>
  <c r="DP462" i="121"/>
  <c r="EB462" i="121"/>
  <c r="EN462" i="121"/>
  <c r="EZ462" i="121"/>
  <c r="FL462" i="121"/>
  <c r="FX462" i="121"/>
  <c r="GJ462" i="121"/>
  <c r="GV462" i="121"/>
  <c r="HH462" i="121"/>
  <c r="HT462" i="121"/>
  <c r="IN462" i="121"/>
  <c r="LN462" i="121"/>
  <c r="LZ462" i="121"/>
  <c r="Y462" i="121"/>
  <c r="AK462" i="121"/>
  <c r="AW462" i="121"/>
  <c r="BI462" i="121"/>
  <c r="BU462" i="121"/>
  <c r="CG462" i="121"/>
  <c r="CS462" i="121"/>
  <c r="DE462" i="121"/>
  <c r="DQ462" i="121"/>
  <c r="EC462" i="121"/>
  <c r="EO462" i="121"/>
  <c r="FA462" i="121"/>
  <c r="FM462" i="121"/>
  <c r="FY462" i="121"/>
  <c r="GK462" i="121"/>
  <c r="GW462" i="121"/>
  <c r="HI462" i="121"/>
  <c r="HU462" i="121"/>
  <c r="JA462" i="121"/>
  <c r="LO462" i="121"/>
  <c r="MA462" i="121"/>
  <c r="BJ462" i="121"/>
  <c r="CH462" i="121"/>
  <c r="CT462" i="121"/>
  <c r="DF462" i="121"/>
  <c r="DR462" i="121"/>
  <c r="ED462" i="121"/>
  <c r="EP462" i="121"/>
  <c r="FB462" i="121"/>
  <c r="FN462" i="121"/>
  <c r="FZ462" i="121"/>
  <c r="GL462" i="121"/>
  <c r="GX462" i="121"/>
  <c r="MB462" i="121"/>
  <c r="AX462" i="121"/>
  <c r="LP462" i="121"/>
  <c r="AA462" i="121"/>
  <c r="AM462" i="121"/>
  <c r="AY462" i="121"/>
  <c r="BK462" i="121"/>
  <c r="BW462" i="121"/>
  <c r="CI462" i="121"/>
  <c r="CU462" i="121"/>
  <c r="DG462" i="121"/>
  <c r="DS462" i="121"/>
  <c r="EE462" i="121"/>
  <c r="EQ462" i="121"/>
  <c r="FC462" i="121"/>
  <c r="FO462" i="121"/>
  <c r="GA462" i="121"/>
  <c r="GM462" i="121"/>
  <c r="GY462" i="121"/>
  <c r="HK462" i="121"/>
  <c r="HW462" i="121"/>
  <c r="KG462" i="121"/>
  <c r="LQ462" i="121"/>
  <c r="MC462" i="121"/>
  <c r="Z462" i="121"/>
  <c r="HV462" i="121"/>
  <c r="AB462" i="121"/>
  <c r="AN462" i="121"/>
  <c r="AZ462" i="121"/>
  <c r="BL462" i="121"/>
  <c r="BX462" i="121"/>
  <c r="CJ462" i="121"/>
  <c r="CV462" i="121"/>
  <c r="DH462" i="121"/>
  <c r="DT462" i="121"/>
  <c r="EF462" i="121"/>
  <c r="ER462" i="121"/>
  <c r="FD462" i="121"/>
  <c r="FP462" i="121"/>
  <c r="GB462" i="121"/>
  <c r="GN462" i="121"/>
  <c r="GZ462" i="121"/>
  <c r="HL462" i="121"/>
  <c r="HX462" i="121"/>
  <c r="KW462" i="121"/>
  <c r="LR462" i="121"/>
  <c r="MD462" i="121"/>
  <c r="BV462" i="121"/>
  <c r="JQ462" i="121"/>
  <c r="AC462" i="121"/>
  <c r="AO462" i="121"/>
  <c r="BA462" i="121"/>
  <c r="BM462" i="121"/>
  <c r="BY462" i="121"/>
  <c r="CK462" i="121"/>
  <c r="CW462" i="121"/>
  <c r="DI462" i="121"/>
  <c r="DU462" i="121"/>
  <c r="EG462" i="121"/>
  <c r="ES462" i="121"/>
  <c r="FE462" i="121"/>
  <c r="FQ462" i="121"/>
  <c r="GC462" i="121"/>
  <c r="GO462" i="121"/>
  <c r="HA462" i="121"/>
  <c r="HM462" i="121"/>
  <c r="HY462" i="121"/>
  <c r="LG462" i="121"/>
  <c r="LS462" i="121"/>
  <c r="ME462" i="121"/>
  <c r="AL462" i="121"/>
  <c r="HJ462" i="121"/>
  <c r="AD462" i="121"/>
  <c r="AP462" i="121"/>
  <c r="BB462" i="121"/>
  <c r="BN462" i="121"/>
  <c r="BZ462" i="121"/>
  <c r="CL462" i="121"/>
  <c r="CX462" i="121"/>
  <c r="DJ462" i="121"/>
  <c r="DV462" i="121"/>
  <c r="EH462" i="121"/>
  <c r="ET462" i="121"/>
  <c r="FF462" i="121"/>
  <c r="FR462" i="121"/>
  <c r="GD462" i="121"/>
  <c r="GP462" i="121"/>
  <c r="HB462" i="121"/>
  <c r="HN462" i="121"/>
  <c r="HZ462" i="121"/>
  <c r="LH462" i="121"/>
  <c r="LT462" i="121"/>
  <c r="AB460" i="121"/>
  <c r="AN460" i="121"/>
  <c r="AZ460" i="121"/>
  <c r="BL460" i="121"/>
  <c r="BX460" i="121"/>
  <c r="CJ460" i="121"/>
  <c r="CV460" i="121"/>
  <c r="DH460" i="121"/>
  <c r="DT460" i="121"/>
  <c r="EF460" i="121"/>
  <c r="ER460" i="121"/>
  <c r="FD460" i="121"/>
  <c r="FP460" i="121"/>
  <c r="GB460" i="121"/>
  <c r="GN460" i="121"/>
  <c r="GZ460" i="121"/>
  <c r="HL460" i="121"/>
  <c r="HX460" i="121"/>
  <c r="JY460" i="121"/>
  <c r="LN460" i="121"/>
  <c r="LZ460" i="121"/>
  <c r="MT460" i="121"/>
  <c r="AC460" i="121"/>
  <c r="AO460" i="121"/>
  <c r="BA460" i="121"/>
  <c r="BM460" i="121"/>
  <c r="BY460" i="121"/>
  <c r="CK460" i="121"/>
  <c r="CW460" i="121"/>
  <c r="DI460" i="121"/>
  <c r="DU460" i="121"/>
  <c r="EG460" i="121"/>
  <c r="ES460" i="121"/>
  <c r="FE460" i="121"/>
  <c r="FQ460" i="121"/>
  <c r="GC460" i="121"/>
  <c r="GO460" i="121"/>
  <c r="HA460" i="121"/>
  <c r="HM460" i="121"/>
  <c r="HY460" i="121"/>
  <c r="KG460" i="121"/>
  <c r="LO460" i="121"/>
  <c r="MA460" i="121"/>
  <c r="AD460" i="121"/>
  <c r="AP460" i="121"/>
  <c r="BB460" i="121"/>
  <c r="BN460" i="121"/>
  <c r="BZ460" i="121"/>
  <c r="CL460" i="121"/>
  <c r="CX460" i="121"/>
  <c r="DJ460" i="121"/>
  <c r="DV460" i="121"/>
  <c r="EH460" i="121"/>
  <c r="ET460" i="121"/>
  <c r="FF460" i="121"/>
  <c r="FR460" i="121"/>
  <c r="GD460" i="121"/>
  <c r="GP460" i="121"/>
  <c r="HB460" i="121"/>
  <c r="HN460" i="121"/>
  <c r="HZ460" i="121"/>
  <c r="KO460" i="121"/>
  <c r="LP460" i="121"/>
  <c r="MB460" i="121"/>
  <c r="AF460" i="121"/>
  <c r="AR460" i="121"/>
  <c r="BD460" i="121"/>
  <c r="BP460" i="121"/>
  <c r="CB460" i="121"/>
  <c r="CN460" i="121"/>
  <c r="CZ460" i="121"/>
  <c r="DL460" i="121"/>
  <c r="DX460" i="121"/>
  <c r="EJ460" i="121"/>
  <c r="EV460" i="121"/>
  <c r="FH460" i="121"/>
  <c r="FT460" i="121"/>
  <c r="GF460" i="121"/>
  <c r="GR460" i="121"/>
  <c r="HD460" i="121"/>
  <c r="HP460" i="121"/>
  <c r="IB460" i="121"/>
  <c r="LE460" i="121"/>
  <c r="LR460" i="121"/>
  <c r="MD460" i="121"/>
  <c r="AG460" i="121"/>
  <c r="AS460" i="121"/>
  <c r="BE460" i="121"/>
  <c r="BQ460" i="121"/>
  <c r="CC460" i="121"/>
  <c r="CO460" i="121"/>
  <c r="DA460" i="121"/>
  <c r="DM460" i="121"/>
  <c r="DY460" i="121"/>
  <c r="EK460" i="121"/>
  <c r="EW460" i="121"/>
  <c r="FI460" i="121"/>
  <c r="FU460" i="121"/>
  <c r="GG460" i="121"/>
  <c r="GS460" i="121"/>
  <c r="HE460" i="121"/>
  <c r="HQ460" i="121"/>
  <c r="IC460" i="121"/>
  <c r="IC487" i="121" s="1"/>
  <c r="LG460" i="121"/>
  <c r="LS460" i="121"/>
  <c r="ME460" i="121"/>
  <c r="AH460" i="121"/>
  <c r="AT460" i="121"/>
  <c r="BF460" i="121"/>
  <c r="BR460" i="121"/>
  <c r="CD460" i="121"/>
  <c r="CP460" i="121"/>
  <c r="DB460" i="121"/>
  <c r="DN460" i="121"/>
  <c r="DZ460" i="121"/>
  <c r="EL460" i="121"/>
  <c r="EX460" i="121"/>
  <c r="FJ460" i="121"/>
  <c r="FV460" i="121"/>
  <c r="GH460" i="121"/>
  <c r="GT460" i="121"/>
  <c r="HF460" i="121"/>
  <c r="HR460" i="121"/>
  <c r="ID460" i="121"/>
  <c r="LH460" i="121"/>
  <c r="LT460" i="121"/>
  <c r="MH460" i="121"/>
  <c r="AI460" i="121"/>
  <c r="AU460" i="121"/>
  <c r="BG460" i="121"/>
  <c r="BS460" i="121"/>
  <c r="CE460" i="121"/>
  <c r="CQ460" i="121"/>
  <c r="DC460" i="121"/>
  <c r="DO460" i="121"/>
  <c r="EA460" i="121"/>
  <c r="EM460" i="121"/>
  <c r="EY460" i="121"/>
  <c r="FK460" i="121"/>
  <c r="FW460" i="121"/>
  <c r="GI460" i="121"/>
  <c r="GU460" i="121"/>
  <c r="HG460" i="121"/>
  <c r="HS460" i="121"/>
  <c r="IK460" i="121"/>
  <c r="LI460" i="121"/>
  <c r="LU460" i="121"/>
  <c r="MK460" i="121"/>
  <c r="X460" i="121"/>
  <c r="AJ460" i="121"/>
  <c r="AV460" i="121"/>
  <c r="BH460" i="121"/>
  <c r="BT460" i="121"/>
  <c r="CF460" i="121"/>
  <c r="CR460" i="121"/>
  <c r="DD460" i="121"/>
  <c r="DP460" i="121"/>
  <c r="EB460" i="121"/>
  <c r="EN460" i="121"/>
  <c r="EZ460" i="121"/>
  <c r="FL460" i="121"/>
  <c r="FX460" i="121"/>
  <c r="GJ460" i="121"/>
  <c r="GV460" i="121"/>
  <c r="HH460" i="121"/>
  <c r="HT460" i="121"/>
  <c r="IS460" i="121"/>
  <c r="LJ460" i="121"/>
  <c r="LV460" i="121"/>
  <c r="ML460" i="121"/>
  <c r="Y460" i="121"/>
  <c r="AK460" i="121"/>
  <c r="AW460" i="121"/>
  <c r="BI460" i="121"/>
  <c r="BU460" i="121"/>
  <c r="CG460" i="121"/>
  <c r="CS460" i="121"/>
  <c r="DE460" i="121"/>
  <c r="DQ460" i="121"/>
  <c r="EC460" i="121"/>
  <c r="EO460" i="121"/>
  <c r="FA460" i="121"/>
  <c r="FM460" i="121"/>
  <c r="FY460" i="121"/>
  <c r="GK460" i="121"/>
  <c r="GW460" i="121"/>
  <c r="HI460" i="121"/>
  <c r="HU460" i="121"/>
  <c r="JA460" i="121"/>
  <c r="LK460" i="121"/>
  <c r="LW460" i="121"/>
  <c r="MM460" i="121"/>
  <c r="Z460" i="121"/>
  <c r="AL460" i="121"/>
  <c r="AX460" i="121"/>
  <c r="BJ460" i="121"/>
  <c r="BV460" i="121"/>
  <c r="CH460" i="121"/>
  <c r="CT460" i="121"/>
  <c r="DF460" i="121"/>
  <c r="DR460" i="121"/>
  <c r="ED460" i="121"/>
  <c r="EP460" i="121"/>
  <c r="FB460" i="121"/>
  <c r="FN460" i="121"/>
  <c r="FZ460" i="121"/>
  <c r="GL460" i="121"/>
  <c r="GX460" i="121"/>
  <c r="HJ460" i="121"/>
  <c r="HV460" i="121"/>
  <c r="JI460" i="121"/>
  <c r="LL460" i="121"/>
  <c r="LX460" i="121"/>
  <c r="MR458" i="121"/>
  <c r="MO463" i="121"/>
  <c r="MN463" i="121"/>
  <c r="MM462" i="121"/>
  <c r="MI458" i="121"/>
  <c r="MK458" i="121"/>
  <c r="ML458" i="121"/>
  <c r="MM458" i="121"/>
  <c r="MN458" i="121"/>
  <c r="MO458"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J556" i="121"/>
  <c r="A237" i="121"/>
  <c r="N1385" i="121"/>
  <c r="J1414" i="121"/>
  <c r="K1395" i="121"/>
  <c r="J1452" i="121"/>
  <c r="F147" i="121"/>
  <c r="D151" i="121"/>
  <c r="ED487" i="121"/>
  <c r="K504" i="121" s="1"/>
  <c r="ID487" i="121"/>
  <c r="EF487" i="121"/>
  <c r="M504" i="121" s="1"/>
  <c r="E1167" i="121"/>
  <c r="C721" i="121"/>
  <c r="C723" i="121"/>
  <c r="L1237" i="121"/>
  <c r="D716" i="121"/>
  <c r="D723" i="121"/>
  <c r="D721" i="121"/>
  <c r="D715" i="121"/>
  <c r="E714" i="121"/>
  <c r="C716" i="121"/>
  <c r="C798" i="121"/>
  <c r="K798" i="121"/>
  <c r="EO487" i="121" l="1"/>
  <c r="L600" i="121" s="1"/>
  <c r="HI487" i="121"/>
  <c r="IA487" i="121"/>
  <c r="MN487" i="121"/>
  <c r="ML487" i="121"/>
  <c r="GC487" i="121"/>
  <c r="L609" i="121" s="1"/>
  <c r="G153" i="121"/>
  <c r="LY487" i="121"/>
  <c r="MM487" i="121"/>
  <c r="IB487" i="121"/>
  <c r="EG487" i="121"/>
  <c r="N504" i="121" s="1"/>
  <c r="GD487" i="121"/>
  <c r="M609" i="121" s="1"/>
  <c r="FX487" i="121"/>
  <c r="GB487" i="121"/>
  <c r="K609" i="121" s="1"/>
  <c r="EH487" i="121"/>
  <c r="O504" i="121" s="1"/>
  <c r="BX487" i="121"/>
  <c r="M535" i="121" s="1"/>
  <c r="AB487" i="121"/>
  <c r="O494" i="121" s="1"/>
  <c r="GF487" i="121"/>
  <c r="O609" i="121" s="1"/>
  <c r="FY487" i="121"/>
  <c r="AW487" i="121"/>
  <c r="K499" i="121" s="1"/>
  <c r="CC487" i="121"/>
  <c r="M534" i="121" s="1"/>
  <c r="BJ487" i="121"/>
  <c r="N502" i="121" s="1"/>
  <c r="ES487" i="121"/>
  <c r="K601" i="121" s="1"/>
  <c r="GX487" i="121"/>
  <c r="M554" i="121" s="1"/>
  <c r="DI487" i="121"/>
  <c r="O546" i="121" s="1"/>
  <c r="BI487" i="121"/>
  <c r="M502" i="121" s="1"/>
  <c r="GE487" i="121"/>
  <c r="N609" i="121" s="1"/>
  <c r="HM487" i="121"/>
  <c r="M557" i="121" s="1"/>
  <c r="FT487" i="121"/>
  <c r="M607" i="121" s="1"/>
  <c r="DT487" i="121"/>
  <c r="K543" i="121" s="1"/>
  <c r="HZ487" i="121"/>
  <c r="MO487" i="121"/>
  <c r="BH487" i="121"/>
  <c r="L502" i="121" s="1"/>
  <c r="LX487" i="121"/>
  <c r="MK487" i="121"/>
  <c r="FD487" i="121"/>
  <c r="L603" i="121" s="1"/>
  <c r="JR487" i="121"/>
  <c r="O581" i="121" s="1"/>
  <c r="O592" i="121" s="1"/>
  <c r="IV487" i="121"/>
  <c r="M585" i="121" s="1"/>
  <c r="IE487" i="121"/>
  <c r="K578" i="121" s="1"/>
  <c r="LE487" i="121"/>
  <c r="N577" i="121" s="1"/>
  <c r="JM487" i="121"/>
  <c r="O580" i="121" s="1"/>
  <c r="O591" i="121" s="1"/>
  <c r="MF487" i="121"/>
  <c r="CN487" i="121"/>
  <c r="N532" i="121" s="1"/>
  <c r="IX487" i="121"/>
  <c r="O585" i="121" s="1"/>
  <c r="MH487" i="121"/>
  <c r="LP487" i="121"/>
  <c r="ET487" i="121"/>
  <c r="L601" i="121" s="1"/>
  <c r="JI487" i="121"/>
  <c r="K580" i="121" s="1"/>
  <c r="K591" i="121" s="1"/>
  <c r="KO487" i="121"/>
  <c r="M574" i="121" s="1"/>
  <c r="IS487" i="121"/>
  <c r="O584" i="121" s="1"/>
  <c r="E148"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P504" i="121" l="1"/>
  <c r="P609" i="121"/>
  <c r="E151" i="121"/>
  <c r="G147" i="121" s="1"/>
  <c r="F165" i="121"/>
  <c r="P682" i="121"/>
  <c r="M556" i="121"/>
  <c r="Q682" i="121"/>
  <c r="N596" i="121"/>
  <c r="O563" i="121"/>
  <c r="Q683" i="121"/>
  <c r="M596" i="121"/>
  <c r="N589" i="121"/>
  <c r="M595" i="121"/>
  <c r="O595" i="121"/>
  <c r="P579" i="121"/>
  <c r="N593" i="121"/>
  <c r="P578" i="121"/>
  <c r="L593" i="121"/>
  <c r="P592" i="121"/>
  <c r="N595" i="121"/>
  <c r="O569" i="121"/>
  <c r="K594" i="121"/>
  <c r="P581" i="121"/>
  <c r="M590" i="121"/>
  <c r="L590" i="121"/>
  <c r="L563" i="121"/>
  <c r="Q681" i="121"/>
  <c r="K589" i="121"/>
  <c r="P576" i="121"/>
  <c r="M594" i="121"/>
  <c r="M563" i="121"/>
  <c r="L595" i="121"/>
  <c r="P585" i="121"/>
  <c r="M593" i="121"/>
  <c r="N590" i="121"/>
  <c r="L589" i="121"/>
  <c r="P574"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90" i="121"/>
  <c r="P589" i="121"/>
  <c r="O514" i="121"/>
  <c r="P563" i="121"/>
  <c r="P684" i="121" s="1"/>
  <c r="L511" i="121"/>
  <c r="L517" i="121"/>
  <c r="O511" i="121"/>
  <c r="O523"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Q684" i="121" l="1"/>
  <c r="Q685" i="121" s="1"/>
  <c r="Q676" i="121" s="1"/>
  <c r="N677" i="121" s="1"/>
  <c r="P685" i="121"/>
  <c r="P505" i="121"/>
  <c r="P514" i="121" s="1"/>
  <c r="K517" i="121"/>
  <c r="K511" i="121"/>
  <c r="K514" i="121"/>
  <c r="K520" i="121"/>
  <c r="K526" i="121"/>
  <c r="K523" i="121"/>
  <c r="G720" i="121"/>
  <c r="G725" i="121" s="1"/>
  <c r="G733" i="121" s="1"/>
  <c r="G717" i="121"/>
  <c r="H716" i="121"/>
  <c r="H723" i="121"/>
  <c r="H721" i="121"/>
  <c r="H715" i="121"/>
  <c r="I714" i="121"/>
  <c r="Q677" i="121" l="1"/>
  <c r="P526" i="121"/>
  <c r="P527" i="121" s="1"/>
  <c r="P528" i="121" s="1"/>
  <c r="P520" i="121"/>
  <c r="N521" i="121" s="1"/>
  <c r="N522" i="121" s="1"/>
  <c r="K678" i="121"/>
  <c r="J488" i="121"/>
  <c r="K679" i="121"/>
  <c r="P517" i="121"/>
  <c r="P518" i="121" s="1"/>
  <c r="P519" i="121" s="1"/>
  <c r="P523" i="121"/>
  <c r="L524" i="121" s="1"/>
  <c r="L525" i="121" s="1"/>
  <c r="J487" i="121"/>
  <c r="K677" i="121"/>
  <c r="K680" i="121"/>
  <c r="P508" i="121"/>
  <c r="L509" i="121" s="1"/>
  <c r="L510" i="121" s="1"/>
  <c r="K682" i="121"/>
  <c r="K681" i="121"/>
  <c r="P511" i="121"/>
  <c r="P512" i="121" s="1"/>
  <c r="P513" i="121" s="1"/>
  <c r="H720" i="121"/>
  <c r="H725" i="121" s="1"/>
  <c r="H733" i="121" s="1"/>
  <c r="H717" i="121"/>
  <c r="I723" i="121"/>
  <c r="I721" i="121"/>
  <c r="I715" i="121"/>
  <c r="J714" i="121"/>
  <c r="I716" i="121"/>
  <c r="P515" i="121"/>
  <c r="P516" i="121" s="1"/>
  <c r="M515" i="121"/>
  <c r="M516" i="121" s="1"/>
  <c r="K515" i="121"/>
  <c r="K516" i="121" s="1"/>
  <c r="O515" i="121"/>
  <c r="O516" i="121" s="1"/>
  <c r="N515" i="121"/>
  <c r="N516" i="121" s="1"/>
  <c r="L515" i="121"/>
  <c r="L516" i="121" s="1"/>
  <c r="K524" i="121" l="1"/>
  <c r="K525" i="121" s="1"/>
  <c r="M521" i="121"/>
  <c r="M522" i="121" s="1"/>
  <c r="K521" i="121"/>
  <c r="K522" i="121" s="1"/>
  <c r="O521" i="121"/>
  <c r="O522" i="121" s="1"/>
  <c r="M512" i="121"/>
  <c r="M513" i="121" s="1"/>
  <c r="L521" i="121"/>
  <c r="L522" i="121" s="1"/>
  <c r="P521" i="121"/>
  <c r="P522" i="121" s="1"/>
  <c r="N524" i="121"/>
  <c r="N525" i="121" s="1"/>
  <c r="M527" i="121"/>
  <c r="M528" i="121" s="1"/>
  <c r="L527" i="121"/>
  <c r="L528" i="121" s="1"/>
  <c r="K527" i="121"/>
  <c r="K528" i="121" s="1"/>
  <c r="N527" i="121"/>
  <c r="N528" i="121" s="1"/>
  <c r="O527" i="121"/>
  <c r="O528" i="121" s="1"/>
  <c r="K518" i="121"/>
  <c r="K519" i="121" s="1"/>
  <c r="P524" i="121"/>
  <c r="P525" i="121" s="1"/>
  <c r="O512" i="121"/>
  <c r="O513" i="121" s="1"/>
  <c r="L512" i="121"/>
  <c r="L513" i="121" s="1"/>
  <c r="K512" i="121"/>
  <c r="K513" i="121" s="1"/>
  <c r="N512" i="121"/>
  <c r="N513" i="121" s="1"/>
  <c r="O518" i="121"/>
  <c r="O519" i="121" s="1"/>
  <c r="K509" i="121"/>
  <c r="K510" i="121" s="1"/>
  <c r="M509" i="121"/>
  <c r="M510" i="121" s="1"/>
  <c r="O509" i="121"/>
  <c r="O510" i="121" s="1"/>
  <c r="L518" i="121"/>
  <c r="L519" i="121" s="1"/>
  <c r="N518" i="121"/>
  <c r="N519" i="121" s="1"/>
  <c r="O524" i="121"/>
  <c r="O525" i="121" s="1"/>
  <c r="P509" i="121"/>
  <c r="P510" i="121" s="1"/>
  <c r="M518" i="121"/>
  <c r="M519" i="121" s="1"/>
  <c r="N509" i="121"/>
  <c r="N510" i="121" s="1"/>
  <c r="M524" i="121"/>
  <c r="M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M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J108" i="107" s="1"/>
  <c r="B106" i="107"/>
  <c r="D40" i="107"/>
  <c r="D39" i="107"/>
  <c r="D38" i="107"/>
  <c r="J27" i="105"/>
  <c r="S189" i="107"/>
  <c r="S187" i="107"/>
  <c r="U187" i="107" s="1"/>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0" i="110" s="1"/>
  <c r="K22" i="120"/>
  <c r="J19" i="110" s="1"/>
  <c r="J22" i="120"/>
  <c r="J24"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P1265" i="121" s="1"/>
  <c r="O108" i="112"/>
  <c r="Q107" i="112"/>
  <c r="Q104" i="112"/>
  <c r="Q103" i="112"/>
  <c r="P101" i="112"/>
  <c r="P1258" i="121" s="1"/>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F251" i="110"/>
  <c r="L245" i="110"/>
  <c r="F240" i="110"/>
  <c r="L235"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3" i="106"/>
  <c r="P42" i="106"/>
  <c r="P41" i="106"/>
  <c r="P40" i="106"/>
  <c r="P83" i="121" s="1"/>
  <c r="S37" i="106"/>
  <c r="L33" i="106"/>
  <c r="S19" i="106"/>
  <c r="S4" i="106"/>
  <c r="K29" i="105"/>
  <c r="K28" i="121" s="1"/>
  <c r="I26" i="111" l="1"/>
  <c r="B43" i="87"/>
  <c r="J26" i="111"/>
  <c r="B18" i="87" s="1"/>
  <c r="B90" i="111"/>
  <c r="C90" i="111"/>
  <c r="C790" i="121" s="1"/>
  <c r="K26" i="111"/>
  <c r="K45" i="82" s="1"/>
  <c r="I90" i="111"/>
  <c r="B58" i="111"/>
  <c r="B20" i="87" s="1"/>
  <c r="J90" i="111"/>
  <c r="B38" i="87" s="1"/>
  <c r="C58" i="111"/>
  <c r="B21" i="87" s="1"/>
  <c r="K90" i="111"/>
  <c r="I58" i="111"/>
  <c r="B820" i="121"/>
  <c r="B26" i="111"/>
  <c r="B40" i="111" s="1"/>
  <c r="C10" i="86" s="1"/>
  <c r="J58" i="111"/>
  <c r="J65" i="82" s="1"/>
  <c r="B41" i="87"/>
  <c r="H26" i="111"/>
  <c r="H45" i="82" s="1"/>
  <c r="K58" i="111"/>
  <c r="K65" i="82" s="1"/>
  <c r="B37" i="87"/>
  <c r="I790" i="121"/>
  <c r="B28" i="87"/>
  <c r="J45" i="82"/>
  <c r="C26" i="111"/>
  <c r="D58" i="111"/>
  <c r="D90" i="111"/>
  <c r="B27" i="87"/>
  <c r="I65" i="82"/>
  <c r="I758" i="121"/>
  <c r="B17" i="87"/>
  <c r="I45" i="82"/>
  <c r="I726" i="121"/>
  <c r="B40" i="87"/>
  <c r="E820" i="121"/>
  <c r="B30" i="87"/>
  <c r="B790" i="121"/>
  <c r="B44" i="87"/>
  <c r="F820" i="121"/>
  <c r="B31" i="87"/>
  <c r="D26" i="111"/>
  <c r="E58" i="111"/>
  <c r="E90" i="111"/>
  <c r="E26" i="111"/>
  <c r="F58" i="111"/>
  <c r="F90" i="111"/>
  <c r="F26" i="111"/>
  <c r="G58" i="111"/>
  <c r="G90" i="111"/>
  <c r="G26" i="111"/>
  <c r="H58" i="111"/>
  <c r="H90" i="111"/>
  <c r="L51" i="106"/>
  <c r="B14" i="82" s="1"/>
  <c r="L52" i="106"/>
  <c r="N52" i="106" s="1"/>
  <c r="C21" i="86"/>
  <c r="D21" i="86" s="1"/>
  <c r="E21" i="86" s="1"/>
  <c r="F21" i="86" s="1"/>
  <c r="G21" i="86" s="1"/>
  <c r="H21" i="86" s="1"/>
  <c r="I21" i="86" s="1"/>
  <c r="L94" i="121"/>
  <c r="N94" i="121" s="1"/>
  <c r="I9" i="121"/>
  <c r="L95" i="121"/>
  <c r="N95" i="121" s="1"/>
  <c r="N51" i="106"/>
  <c r="O222" i="112"/>
  <c r="O1379" i="121" s="1"/>
  <c r="O1381" i="121"/>
  <c r="O215" i="112"/>
  <c r="O1372" i="121" s="1"/>
  <c r="O1373" i="121"/>
  <c r="L688" i="121"/>
  <c r="L689" i="121" s="1"/>
  <c r="F39" i="107"/>
  <c r="E38" i="107"/>
  <c r="O121" i="112"/>
  <c r="O117" i="112" s="1"/>
  <c r="Q108" i="112"/>
  <c r="O1265" i="121"/>
  <c r="Q1265" i="121" s="1"/>
  <c r="O89" i="112"/>
  <c r="O1246" i="121" s="1"/>
  <c r="O1249" i="121"/>
  <c r="Q46" i="112"/>
  <c r="O1203" i="121"/>
  <c r="Q1203" i="121" s="1"/>
  <c r="O37" i="112"/>
  <c r="O1194" i="121" s="1"/>
  <c r="O1201" i="121"/>
  <c r="L25" i="112"/>
  <c r="L1182" i="121"/>
  <c r="Q1182" i="121"/>
  <c r="Q25" i="112"/>
  <c r="O169" i="112"/>
  <c r="J378" i="112" s="1"/>
  <c r="K378" i="112"/>
  <c r="P1326" i="121"/>
  <c r="K1527" i="121" s="1"/>
  <c r="BB446" i="112"/>
  <c r="P1517" i="121"/>
  <c r="AV432" i="112"/>
  <c r="O1317" i="121"/>
  <c r="K384" i="112"/>
  <c r="O1533" i="121"/>
  <c r="K1533" i="121" s="1"/>
  <c r="B53" i="82"/>
  <c r="B731" i="121"/>
  <c r="C31" i="111"/>
  <c r="L48" i="110"/>
  <c r="M48" i="110" s="1"/>
  <c r="L41" i="110"/>
  <c r="M41" i="110" s="1"/>
  <c r="L29" i="110"/>
  <c r="M29" i="110" s="1"/>
  <c r="L40" i="110"/>
  <c r="M40" i="110" s="1"/>
  <c r="J18" i="110"/>
  <c r="J456" i="121" s="1"/>
  <c r="L456" i="121" s="1"/>
  <c r="M456" i="121" s="1"/>
  <c r="L36" i="110"/>
  <c r="M36" i="110" s="1"/>
  <c r="J21" i="110"/>
  <c r="J459" i="121" s="1"/>
  <c r="L459" i="121" s="1"/>
  <c r="M459" i="121" s="1"/>
  <c r="J22" i="110"/>
  <c r="J460" i="121" s="1"/>
  <c r="L460" i="121" s="1"/>
  <c r="M460" i="121" s="1"/>
  <c r="J25" i="110"/>
  <c r="J463" i="121" s="1"/>
  <c r="L463" i="121" s="1"/>
  <c r="M463" i="121" s="1"/>
  <c r="L28" i="110"/>
  <c r="M28" i="110" s="1"/>
  <c r="J26" i="110"/>
  <c r="J458" i="121"/>
  <c r="L458" i="121" s="1"/>
  <c r="M458" i="121" s="1"/>
  <c r="L20" i="110"/>
  <c r="M20" i="110" s="1"/>
  <c r="J462" i="121"/>
  <c r="L462" i="121" s="1"/>
  <c r="M462" i="121" s="1"/>
  <c r="L24" i="110"/>
  <c r="M24" i="110" s="1"/>
  <c r="L38" i="110"/>
  <c r="M38" i="110" s="1"/>
  <c r="J23" i="110"/>
  <c r="L23" i="110" s="1"/>
  <c r="M23" i="110" s="1"/>
  <c r="L35" i="110"/>
  <c r="M35" i="110" s="1"/>
  <c r="J473" i="121"/>
  <c r="L473" i="121" s="1"/>
  <c r="M473" i="121" s="1"/>
  <c r="L47" i="110"/>
  <c r="M47" i="110" s="1"/>
  <c r="J485" i="121"/>
  <c r="L485" i="121" s="1"/>
  <c r="M485" i="121" s="1"/>
  <c r="L37" i="110"/>
  <c r="M37" i="110" s="1"/>
  <c r="L46" i="110"/>
  <c r="M46" i="110" s="1"/>
  <c r="J484" i="121"/>
  <c r="L484" i="121" s="1"/>
  <c r="M484" i="121" s="1"/>
  <c r="L39" i="110"/>
  <c r="M39" i="110" s="1"/>
  <c r="J477" i="121"/>
  <c r="L477" i="121" s="1"/>
  <c r="M477" i="121" s="1"/>
  <c r="L45" i="110"/>
  <c r="M45" i="110" s="1"/>
  <c r="L33" i="110"/>
  <c r="M33" i="110" s="1"/>
  <c r="L34" i="110"/>
  <c r="M34" i="110" s="1"/>
  <c r="L31" i="110"/>
  <c r="M31" i="110" s="1"/>
  <c r="J469" i="121"/>
  <c r="L469" i="121" s="1"/>
  <c r="M469" i="121" s="1"/>
  <c r="L43" i="110"/>
  <c r="M43" i="110" s="1"/>
  <c r="J481" i="121"/>
  <c r="L481" i="121" s="1"/>
  <c r="M481" i="121" s="1"/>
  <c r="L27" i="110"/>
  <c r="M27" i="110" s="1"/>
  <c r="J465" i="121"/>
  <c r="L465" i="121" s="1"/>
  <c r="M465" i="121" s="1"/>
  <c r="L19" i="110"/>
  <c r="M19" i="110" s="1"/>
  <c r="J457" i="121"/>
  <c r="L457" i="121" s="1"/>
  <c r="M457" i="121" s="1"/>
  <c r="F126" i="107"/>
  <c r="F122" i="107"/>
  <c r="J146" i="107"/>
  <c r="J162" i="107" s="1"/>
  <c r="J164" i="107" s="1"/>
  <c r="J166" i="107" s="1"/>
  <c r="G43" i="107"/>
  <c r="E40" i="107"/>
  <c r="S146" i="107"/>
  <c r="G146" i="107"/>
  <c r="C18" i="100" s="1"/>
  <c r="H15" i="100"/>
  <c r="O29" i="105"/>
  <c r="E18" i="89"/>
  <c r="J26" i="121"/>
  <c r="A45" i="121"/>
  <c r="A2" i="105"/>
  <c r="A1" i="121" s="1"/>
  <c r="A307" i="121"/>
  <c r="C44" i="90"/>
  <c r="H8" i="100"/>
  <c r="AZ443" i="112"/>
  <c r="P1488" i="121"/>
  <c r="BC430" i="112"/>
  <c r="P1298" i="121"/>
  <c r="AZ437" i="112"/>
  <c r="P1414" i="121"/>
  <c r="L359" i="112"/>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257" i="121" s="1"/>
  <c r="P143" i="112"/>
  <c r="P1300" i="121" s="1"/>
  <c r="BB431" i="112"/>
  <c r="BA431" i="112"/>
  <c r="AZ431" i="112"/>
  <c r="AJ457" i="112"/>
  <c r="AZ436" i="112"/>
  <c r="BA436" i="112"/>
  <c r="J383" i="112"/>
  <c r="J1532" i="121" s="1"/>
  <c r="BB426" i="112"/>
  <c r="AZ426" i="112"/>
  <c r="BA426" i="112"/>
  <c r="AX427" i="112"/>
  <c r="AV427" i="112"/>
  <c r="AW427" i="112"/>
  <c r="BB429" i="112"/>
  <c r="BA429" i="112"/>
  <c r="AZ429" i="112"/>
  <c r="BB430" i="112"/>
  <c r="BA430" i="112"/>
  <c r="AZ430" i="112"/>
  <c r="P207" i="112"/>
  <c r="AJ449" i="112"/>
  <c r="AY425" i="112"/>
  <c r="AY427" i="112"/>
  <c r="AY431" i="112"/>
  <c r="AI458"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H726" i="121" l="1"/>
  <c r="K726" i="121"/>
  <c r="C820" i="121"/>
  <c r="C827" i="121" s="1"/>
  <c r="O212" i="112"/>
  <c r="B42" i="87"/>
  <c r="J790" i="121"/>
  <c r="J797" i="121" s="1"/>
  <c r="B65" i="82"/>
  <c r="K758" i="121"/>
  <c r="K770" i="121" s="1"/>
  <c r="B29" i="87"/>
  <c r="D820" i="121"/>
  <c r="D827" i="121" s="1"/>
  <c r="K790" i="121"/>
  <c r="B39" i="87"/>
  <c r="J726" i="121"/>
  <c r="J734" i="121" s="1"/>
  <c r="B758" i="121"/>
  <c r="B766" i="121" s="1"/>
  <c r="J758" i="121"/>
  <c r="J766" i="121" s="1"/>
  <c r="B19" i="87"/>
  <c r="B10" i="87"/>
  <c r="B16" i="87"/>
  <c r="B740" i="121"/>
  <c r="C758" i="121"/>
  <c r="C766" i="121" s="1"/>
  <c r="C75" i="100"/>
  <c r="C65" i="82"/>
  <c r="B726" i="121"/>
  <c r="B45" i="82"/>
  <c r="I766" i="121"/>
  <c r="I770" i="121"/>
  <c r="B801" i="121"/>
  <c r="B797" i="121"/>
  <c r="B13" i="87"/>
  <c r="E45" i="82"/>
  <c r="E726" i="121"/>
  <c r="K734" i="121"/>
  <c r="K738" i="121"/>
  <c r="B24" i="87"/>
  <c r="F65" i="82"/>
  <c r="F758" i="121"/>
  <c r="B35" i="87"/>
  <c r="G790" i="121"/>
  <c r="C797" i="121"/>
  <c r="C801" i="121"/>
  <c r="B831" i="121"/>
  <c r="B827" i="121"/>
  <c r="H734" i="121"/>
  <c r="H738" i="121"/>
  <c r="B25" i="87"/>
  <c r="G65" i="82"/>
  <c r="G758" i="121"/>
  <c r="B770" i="121"/>
  <c r="C831" i="121"/>
  <c r="J801" i="121"/>
  <c r="B36" i="87"/>
  <c r="H790" i="121"/>
  <c r="E65" i="82"/>
  <c r="B23" i="87"/>
  <c r="E758" i="121"/>
  <c r="E827" i="121"/>
  <c r="E831" i="121"/>
  <c r="B22" i="87"/>
  <c r="D65" i="82"/>
  <c r="D758" i="121"/>
  <c r="B14" i="87"/>
  <c r="F45" i="82"/>
  <c r="F726" i="121"/>
  <c r="B32" i="87"/>
  <c r="D790" i="121"/>
  <c r="B26" i="87"/>
  <c r="H65" i="82"/>
  <c r="H758" i="121"/>
  <c r="I738" i="121"/>
  <c r="I734" i="121"/>
  <c r="C45" i="82"/>
  <c r="B11" i="87"/>
  <c r="C726" i="121"/>
  <c r="C40" i="111"/>
  <c r="K766" i="121"/>
  <c r="I801" i="121"/>
  <c r="I797" i="121"/>
  <c r="K797" i="121"/>
  <c r="K801" i="121"/>
  <c r="B15" i="87"/>
  <c r="G45" i="82"/>
  <c r="G726" i="121"/>
  <c r="B34" i="87"/>
  <c r="F790" i="121"/>
  <c r="B33" i="87"/>
  <c r="E790" i="121"/>
  <c r="F831" i="121"/>
  <c r="F827" i="121"/>
  <c r="B12" i="87"/>
  <c r="D45" i="82"/>
  <c r="D726" i="121"/>
  <c r="O1369" i="121"/>
  <c r="O206" i="112"/>
  <c r="J381" i="112" s="1"/>
  <c r="L251" i="110"/>
  <c r="E41" i="107"/>
  <c r="J1400" i="121"/>
  <c r="O238" i="112"/>
  <c r="AW433" i="112"/>
  <c r="AV433" i="112"/>
  <c r="O1326" i="121"/>
  <c r="O1300" i="121"/>
  <c r="O1274" i="121"/>
  <c r="AW429" i="112"/>
  <c r="AY429" i="112"/>
  <c r="AV429" i="112"/>
  <c r="AX429" i="112"/>
  <c r="O1278" i="121"/>
  <c r="L1194" i="121"/>
  <c r="Q1201" i="121"/>
  <c r="O20" i="112"/>
  <c r="O1177" i="121" s="1"/>
  <c r="P310" i="112"/>
  <c r="P1364" i="121"/>
  <c r="D31" i="111"/>
  <c r="C53" i="82"/>
  <c r="C731" i="121"/>
  <c r="L25" i="110"/>
  <c r="M25" i="110" s="1"/>
  <c r="L21" i="110"/>
  <c r="M21" i="110" s="1"/>
  <c r="L18" i="110"/>
  <c r="M18" i="110" s="1"/>
  <c r="L22" i="110"/>
  <c r="M22" i="110" s="1"/>
  <c r="J464" i="121"/>
  <c r="L464" i="121" s="1"/>
  <c r="M464" i="121" s="1"/>
  <c r="L26" i="110"/>
  <c r="M26" i="110" s="1"/>
  <c r="J461" i="121"/>
  <c r="L461" i="121" s="1"/>
  <c r="M461" i="121" s="1"/>
  <c r="O121" i="110"/>
  <c r="M155" i="110"/>
  <c r="K156" i="110"/>
  <c r="O157" i="110"/>
  <c r="P167" i="110"/>
  <c r="L152" i="110"/>
  <c r="M158" i="110"/>
  <c r="O156" i="110"/>
  <c r="O118" i="110"/>
  <c r="K115" i="110"/>
  <c r="P94" i="110"/>
  <c r="M115" i="110"/>
  <c r="M121" i="110"/>
  <c r="E3" i="86"/>
  <c r="I104" i="121"/>
  <c r="P94" i="121" s="1"/>
  <c r="I61" i="106"/>
  <c r="P52" i="106" s="1"/>
  <c r="B4" i="82"/>
  <c r="J176" i="107"/>
  <c r="L34" i="106"/>
  <c r="N28" i="121"/>
  <c r="Q672" i="121"/>
  <c r="P4" i="110"/>
  <c r="P442" i="121"/>
  <c r="O28"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D831" i="121" l="1"/>
  <c r="C770" i="121"/>
  <c r="J306" i="112"/>
  <c r="J1455" i="121" s="1"/>
  <c r="J738" i="121"/>
  <c r="J770" i="121"/>
  <c r="C740" i="121"/>
  <c r="D10" i="86"/>
  <c r="G797" i="121"/>
  <c r="G801" i="121"/>
  <c r="H797" i="121"/>
  <c r="H801" i="121"/>
  <c r="E801" i="121"/>
  <c r="E797" i="121"/>
  <c r="D40" i="111"/>
  <c r="D766" i="121"/>
  <c r="D770" i="121"/>
  <c r="G738" i="121"/>
  <c r="G734" i="121"/>
  <c r="D734" i="121"/>
  <c r="D738" i="121"/>
  <c r="C734" i="121"/>
  <c r="C738" i="121"/>
  <c r="D797" i="121"/>
  <c r="D801" i="121"/>
  <c r="G766" i="121"/>
  <c r="G770" i="121"/>
  <c r="F766" i="121"/>
  <c r="F770" i="121"/>
  <c r="E770" i="121"/>
  <c r="E766" i="121"/>
  <c r="E734" i="121"/>
  <c r="E738" i="121"/>
  <c r="F797" i="121"/>
  <c r="F801" i="121"/>
  <c r="F734" i="121"/>
  <c r="F738" i="121"/>
  <c r="H766" i="121"/>
  <c r="H770" i="121"/>
  <c r="O1363" i="121"/>
  <c r="AW435" i="112"/>
  <c r="AI456" i="112"/>
  <c r="O207" i="112"/>
  <c r="AV435" i="112"/>
  <c r="D45" i="106"/>
  <c r="D88" i="121" s="1"/>
  <c r="J382" i="112"/>
  <c r="J1531" i="121" s="1"/>
  <c r="AV436" i="112"/>
  <c r="AW436" i="112"/>
  <c r="J303" i="112"/>
  <c r="O1395" i="121"/>
  <c r="L1395" i="121" s="1"/>
  <c r="O239" i="112"/>
  <c r="O1396" i="121" s="1"/>
  <c r="J307" i="112"/>
  <c r="J1456" i="121" s="1"/>
  <c r="L238" i="112"/>
  <c r="AI457" i="112"/>
  <c r="N228" i="112"/>
  <c r="AY430" i="112"/>
  <c r="AX430" i="112"/>
  <c r="AV430" i="112"/>
  <c r="O1298" i="121"/>
  <c r="AW430" i="112"/>
  <c r="K375" i="112"/>
  <c r="P303" i="112"/>
  <c r="P1459" i="121"/>
  <c r="J1530" i="121"/>
  <c r="E31" i="111"/>
  <c r="D53" i="82"/>
  <c r="D731" i="121"/>
  <c r="M49" i="110"/>
  <c r="M50" i="110" s="1"/>
  <c r="B715" i="121" s="1"/>
  <c r="M487" i="121"/>
  <c r="M488" i="121" s="1"/>
  <c r="Q166" i="110"/>
  <c r="Q604" i="121" s="1"/>
  <c r="Q165" i="110"/>
  <c r="Q603" i="121" s="1"/>
  <c r="P152" i="110"/>
  <c r="AD108" i="107"/>
  <c r="AF108" i="107" s="1"/>
  <c r="Q161" i="110"/>
  <c r="Q599" i="121" s="1"/>
  <c r="P121" i="110"/>
  <c r="P95" i="121"/>
  <c r="P96" i="121" s="1"/>
  <c r="I60" i="106"/>
  <c r="J177" i="107" s="1"/>
  <c r="J178" i="107" s="1"/>
  <c r="J180" i="107" s="1"/>
  <c r="I88" i="121"/>
  <c r="I103" i="121" s="1"/>
  <c r="I105" i="121" s="1"/>
  <c r="B32" i="82"/>
  <c r="P51" i="106"/>
  <c r="P53" i="106" s="1"/>
  <c r="C135" i="90"/>
  <c r="L77" i="121"/>
  <c r="L78" i="121" s="1"/>
  <c r="L35" i="106"/>
  <c r="Q171" i="110"/>
  <c r="Q609" i="121" s="1"/>
  <c r="F57" i="89"/>
  <c r="P118" i="110"/>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Y449" i="112" s="1"/>
  <c r="AX446" i="112"/>
  <c r="I368" i="112"/>
  <c r="H14" i="111"/>
  <c r="Q167" i="110"/>
  <c r="Q605" i="121" s="1"/>
  <c r="P157" i="110"/>
  <c r="K65" i="110"/>
  <c r="P63" i="110"/>
  <c r="Q164" i="110"/>
  <c r="Q602" i="121" s="1"/>
  <c r="K170" i="110"/>
  <c r="P168" i="110"/>
  <c r="Q163" i="110"/>
  <c r="Q601" i="121" s="1"/>
  <c r="P125" i="110"/>
  <c r="P131" i="110"/>
  <c r="P155" i="110"/>
  <c r="P111" i="110"/>
  <c r="P158" i="110"/>
  <c r="AW449" i="112" l="1"/>
  <c r="D740" i="121"/>
  <c r="E40" i="111"/>
  <c r="E10" i="86"/>
  <c r="B15" i="82"/>
  <c r="J183" i="107"/>
  <c r="O310" i="112"/>
  <c r="O1364" i="121"/>
  <c r="J1459" i="121" s="1"/>
  <c r="J310" i="112"/>
  <c r="J380" i="112"/>
  <c r="J1529" i="121" s="1"/>
  <c r="AX449" i="112"/>
  <c r="P1452" i="121"/>
  <c r="AJ459" i="112"/>
  <c r="AZ440" i="112"/>
  <c r="AZ449" i="112" s="1"/>
  <c r="P407" i="112" s="1"/>
  <c r="F31" i="111"/>
  <c r="E53" i="82"/>
  <c r="E731" i="121"/>
  <c r="B15" i="111"/>
  <c r="H183" i="110"/>
  <c r="B716" i="121" s="1"/>
  <c r="B717" i="121" s="1"/>
  <c r="B720" i="121" s="1"/>
  <c r="B725" i="121" s="1"/>
  <c r="M76" i="110"/>
  <c r="O85" i="110"/>
  <c r="M88" i="110"/>
  <c r="M79" i="110"/>
  <c r="H7" i="100"/>
  <c r="I62" i="106"/>
  <c r="P47" i="106" s="1"/>
  <c r="P90" i="121" s="1"/>
  <c r="J287" i="121"/>
  <c r="J288" i="121" s="1"/>
  <c r="J290" i="121" s="1"/>
  <c r="J293" i="121" s="1"/>
  <c r="AV439" i="112"/>
  <c r="O1435" i="121"/>
  <c r="AZ439" i="112"/>
  <c r="P1435" i="121"/>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K172" i="110"/>
  <c r="P172" i="110" s="1"/>
  <c r="P170" i="110"/>
  <c r="P247" i="110"/>
  <c r="K67" i="110"/>
  <c r="P65" i="110"/>
  <c r="B733" i="121" l="1"/>
  <c r="B734" i="121"/>
  <c r="B738" i="121"/>
  <c r="E740" i="121"/>
  <c r="F40" i="111"/>
  <c r="F10" i="86"/>
  <c r="O1459" i="121"/>
  <c r="L1459" i="121" s="1"/>
  <c r="O303" i="112"/>
  <c r="L310" i="112"/>
  <c r="F15" i="111"/>
  <c r="B722" i="121"/>
  <c r="B739" i="121" s="1"/>
  <c r="P6" i="112"/>
  <c r="P1556" i="121"/>
  <c r="P1163" i="121" s="1"/>
  <c r="G31" i="111"/>
  <c r="F53" i="82"/>
  <c r="F731" i="121"/>
  <c r="H15" i="111"/>
  <c r="P183" i="110"/>
  <c r="G15" i="111"/>
  <c r="D15" i="111"/>
  <c r="C52" i="100"/>
  <c r="C15" i="111"/>
  <c r="E15" i="111"/>
  <c r="H621" i="121"/>
  <c r="P621" i="121" s="1"/>
  <c r="B16" i="111"/>
  <c r="I16" i="111"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Q239" i="110"/>
  <c r="N239" i="110"/>
  <c r="P67" i="110"/>
  <c r="K175" i="110"/>
  <c r="K613" i="121" s="1"/>
  <c r="K85" i="110"/>
  <c r="K73" i="110"/>
  <c r="K82" i="110"/>
  <c r="K70" i="110"/>
  <c r="K76" i="110"/>
  <c r="K79" i="110"/>
  <c r="K88" i="110"/>
  <c r="F740" i="121" l="1"/>
  <c r="G40" i="111"/>
  <c r="G10" i="86"/>
  <c r="O1452" i="121"/>
  <c r="K1452" i="121" s="1"/>
  <c r="AV440" i="112"/>
  <c r="AV449" i="112" s="1"/>
  <c r="O407" i="112" s="1"/>
  <c r="O6" i="112" s="1"/>
  <c r="K238" i="112"/>
  <c r="K303" i="112"/>
  <c r="J265" i="112"/>
  <c r="AI459" i="112"/>
  <c r="H31" i="111"/>
  <c r="G53" i="82"/>
  <c r="G731" i="121"/>
  <c r="H16" i="111"/>
  <c r="H17" i="111" s="1"/>
  <c r="H20" i="111" s="1"/>
  <c r="C53" i="100"/>
  <c r="E16" i="111"/>
  <c r="E17" i="111" s="1"/>
  <c r="E20" i="111" s="1"/>
  <c r="G16" i="111"/>
  <c r="G17" i="111" s="1"/>
  <c r="G20" i="111" s="1"/>
  <c r="D16" i="111"/>
  <c r="D17" i="111" s="1"/>
  <c r="D20" i="111" s="1"/>
  <c r="C16" i="111"/>
  <c r="C17" i="111" s="1"/>
  <c r="C20" i="111" s="1"/>
  <c r="F16" i="111"/>
  <c r="F17" i="111" s="1"/>
  <c r="F20" i="111" s="1"/>
  <c r="B17" i="111"/>
  <c r="B22" i="111"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G740" i="121" l="1"/>
  <c r="H40" i="111"/>
  <c r="H10" i="86"/>
  <c r="O1556" i="121"/>
  <c r="O1163" i="121" s="1"/>
  <c r="D22" i="111"/>
  <c r="I22" i="111"/>
  <c r="H22" i="111"/>
  <c r="Q662" i="121"/>
  <c r="Q224" i="110"/>
  <c r="F22" i="111"/>
  <c r="C22" i="111"/>
  <c r="E22" i="111"/>
  <c r="G22" i="111"/>
  <c r="I31" i="111"/>
  <c r="H53" i="82"/>
  <c r="H731" i="121"/>
  <c r="J4" i="91"/>
  <c r="B20" i="111"/>
  <c r="K8" i="111"/>
  <c r="K6" i="111"/>
  <c r="C54" i="100"/>
  <c r="L4" i="95"/>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H740" i="121" l="1"/>
  <c r="I40" i="111"/>
  <c r="I10" i="86"/>
  <c r="J22" i="111"/>
  <c r="O226" i="110"/>
  <c r="O225" i="110"/>
  <c r="O663" i="121"/>
  <c r="O664" i="121"/>
  <c r="J31" i="111"/>
  <c r="I53" i="82"/>
  <c r="I731" i="121"/>
  <c r="J1231" i="121"/>
  <c r="J76" i="112"/>
  <c r="J1233" i="121" s="1"/>
  <c r="E127" i="107"/>
  <c r="A127" i="107" s="1"/>
  <c r="C46" i="111"/>
  <c r="B55" i="111"/>
  <c r="F33" i="86" s="1"/>
  <c r="B47" i="111"/>
  <c r="B48" i="111"/>
  <c r="K17" i="111"/>
  <c r="K20" i="111" s="1"/>
  <c r="I740" i="121" l="1"/>
  <c r="J40" i="111"/>
  <c r="C30" i="86"/>
  <c r="K22" i="111"/>
  <c r="K31" i="111"/>
  <c r="J53" i="82"/>
  <c r="J731" i="121"/>
  <c r="B49" i="111"/>
  <c r="B52" i="111" s="1"/>
  <c r="D46" i="111"/>
  <c r="C47" i="111"/>
  <c r="C55" i="111"/>
  <c r="G33" i="86" s="1"/>
  <c r="C48" i="111"/>
  <c r="J740" i="121" l="1"/>
  <c r="K40" i="111"/>
  <c r="D30" i="86"/>
  <c r="B54" i="111"/>
  <c r="B63" i="111"/>
  <c r="K53" i="82"/>
  <c r="K731" i="121"/>
  <c r="C49" i="111"/>
  <c r="C52" i="111" s="1"/>
  <c r="E46" i="111"/>
  <c r="D47" i="111"/>
  <c r="D55" i="111"/>
  <c r="H33" i="86" s="1"/>
  <c r="D48" i="111"/>
  <c r="K740" i="121" l="1"/>
  <c r="B72" i="111"/>
  <c r="E30" i="86"/>
  <c r="C54" i="111"/>
  <c r="C63" i="111"/>
  <c r="B73" i="82"/>
  <c r="B763" i="121"/>
  <c r="D49" i="111"/>
  <c r="D52" i="111" s="1"/>
  <c r="F46" i="111"/>
  <c r="E47" i="111"/>
  <c r="E55" i="111"/>
  <c r="I33" i="86" s="1"/>
  <c r="E48" i="111"/>
  <c r="B772" i="121" l="1"/>
  <c r="C72" i="111"/>
  <c r="F30" i="86"/>
  <c r="D54" i="111"/>
  <c r="D63" i="111"/>
  <c r="C73" i="82"/>
  <c r="C763" i="121"/>
  <c r="G46" i="111"/>
  <c r="F55" i="111"/>
  <c r="C53" i="86" s="1"/>
  <c r="F47" i="111"/>
  <c r="F48" i="111"/>
  <c r="E49" i="111"/>
  <c r="E52" i="111" s="1"/>
  <c r="V176" i="72"/>
  <c r="V177" i="72"/>
  <c r="C772" i="121" l="1"/>
  <c r="D72" i="111"/>
  <c r="G30" i="86"/>
  <c r="E54" i="111"/>
  <c r="E63" i="111"/>
  <c r="D73" i="82"/>
  <c r="D763" i="121"/>
  <c r="H46" i="111"/>
  <c r="G47" i="111"/>
  <c r="G55" i="111"/>
  <c r="D53" i="86" s="1"/>
  <c r="G48" i="111"/>
  <c r="F49" i="111"/>
  <c r="F52" i="111" s="1"/>
  <c r="D772" i="121" l="1"/>
  <c r="E72" i="111"/>
  <c r="H30" i="86"/>
  <c r="F54" i="111"/>
  <c r="F63" i="111"/>
  <c r="E73" i="82"/>
  <c r="E763" i="121"/>
  <c r="I46" i="111"/>
  <c r="H55" i="111"/>
  <c r="E53" i="86" s="1"/>
  <c r="H47" i="111"/>
  <c r="H48" i="111"/>
  <c r="G49" i="111"/>
  <c r="G52" i="111" s="1"/>
  <c r="E772" i="121" l="1"/>
  <c r="F72" i="111"/>
  <c r="I30" i="86"/>
  <c r="G54" i="111"/>
  <c r="G63" i="111"/>
  <c r="F73" i="82"/>
  <c r="F763" i="121"/>
  <c r="J46" i="111"/>
  <c r="I47" i="111"/>
  <c r="I55" i="111"/>
  <c r="F53" i="86" s="1"/>
  <c r="I48" i="111"/>
  <c r="H49" i="111"/>
  <c r="H52" i="111" s="1"/>
  <c r="F772" i="121" l="1"/>
  <c r="G72" i="111"/>
  <c r="C50" i="86"/>
  <c r="H54" i="111"/>
  <c r="H63" i="111"/>
  <c r="G73" i="82"/>
  <c r="G763" i="121"/>
  <c r="K46" i="111"/>
  <c r="J55" i="111"/>
  <c r="G53" i="86" s="1"/>
  <c r="J47" i="111"/>
  <c r="J48" i="111"/>
  <c r="I49" i="111"/>
  <c r="I52" i="111" s="1"/>
  <c r="G772" i="121" l="1"/>
  <c r="H72" i="111"/>
  <c r="D50" i="86"/>
  <c r="I54" i="111"/>
  <c r="I63" i="111"/>
  <c r="H73" i="82"/>
  <c r="H763" i="121"/>
  <c r="J49" i="111"/>
  <c r="J52" i="111" s="1"/>
  <c r="B78" i="111"/>
  <c r="K55" i="111"/>
  <c r="H53" i="86" s="1"/>
  <c r="K47" i="111"/>
  <c r="K48" i="111"/>
  <c r="I133" i="73"/>
  <c r="G59" i="93"/>
  <c r="G61" i="93"/>
  <c r="O138" i="72"/>
  <c r="J54" i="111" l="1"/>
  <c r="H772" i="121"/>
  <c r="I72" i="111"/>
  <c r="E50" i="86"/>
  <c r="J63" i="111"/>
  <c r="I73" i="82"/>
  <c r="I763" i="121"/>
  <c r="K49" i="111"/>
  <c r="K52" i="111" s="1"/>
  <c r="C78" i="111"/>
  <c r="B87" i="111"/>
  <c r="B79" i="111"/>
  <c r="B80" i="111"/>
  <c r="G62" i="93"/>
  <c r="G63" i="93"/>
  <c r="G58" i="93"/>
  <c r="G60" i="93"/>
  <c r="P47" i="72"/>
  <c r="P46" i="72"/>
  <c r="P45" i="72"/>
  <c r="I772" i="121" l="1"/>
  <c r="J72" i="111"/>
  <c r="F50" i="86"/>
  <c r="K54" i="111"/>
  <c r="K63" i="111"/>
  <c r="J73" i="82"/>
  <c r="J763" i="121"/>
  <c r="B81" i="111"/>
  <c r="B84" i="111" s="1"/>
  <c r="D78" i="111"/>
  <c r="C79" i="111"/>
  <c r="C87" i="111"/>
  <c r="C80" i="111"/>
  <c r="AB57" i="72"/>
  <c r="AB58" i="72"/>
  <c r="AB59" i="72"/>
  <c r="AB60" i="72"/>
  <c r="AB61" i="72"/>
  <c r="Z56" i="72"/>
  <c r="AI35" i="72"/>
  <c r="AH35" i="72"/>
  <c r="AG35" i="72"/>
  <c r="AF35" i="72"/>
  <c r="AE35" i="72"/>
  <c r="AD35" i="72"/>
  <c r="J772" i="121" l="1"/>
  <c r="K72" i="111"/>
  <c r="G50" i="86"/>
  <c r="B86" i="111"/>
  <c r="K73" i="82"/>
  <c r="K763" i="121"/>
  <c r="E78" i="111"/>
  <c r="D79" i="111"/>
  <c r="D87" i="111"/>
  <c r="D80" i="111"/>
  <c r="C81" i="111"/>
  <c r="C84" i="111" s="1"/>
  <c r="R344" i="72"/>
  <c r="D4" i="93"/>
  <c r="K772" i="121" l="1"/>
  <c r="L100" i="85"/>
  <c r="L70" i="85"/>
  <c r="B103" i="111"/>
  <c r="H50" i="86"/>
  <c r="C86" i="111"/>
  <c r="F78" i="111"/>
  <c r="E79" i="111"/>
  <c r="E87" i="111"/>
  <c r="E80" i="111"/>
  <c r="D81" i="111"/>
  <c r="D84" i="111" s="1"/>
  <c r="D14" i="100"/>
  <c r="C148" i="90"/>
  <c r="C146" i="90"/>
  <c r="G132" i="90"/>
  <c r="D132" i="90"/>
  <c r="C132" i="90"/>
  <c r="E58" i="90"/>
  <c r="C58" i="90"/>
  <c r="C56" i="90"/>
  <c r="C8" i="90"/>
  <c r="E68" i="89"/>
  <c r="E29" i="89"/>
  <c r="E5" i="89"/>
  <c r="O6" i="86"/>
  <c r="F17" i="85"/>
  <c r="F15" i="85"/>
  <c r="D16" i="83"/>
  <c r="B803" i="121" l="1"/>
  <c r="C103" i="111"/>
  <c r="D86" i="111"/>
  <c r="E81" i="111"/>
  <c r="E84" i="111" s="1"/>
  <c r="G78"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803" i="121" l="1"/>
  <c r="D103" i="111"/>
  <c r="E86" i="111"/>
  <c r="F81" i="111"/>
  <c r="F84" i="111" s="1"/>
  <c r="H78" i="111"/>
  <c r="G79" i="111"/>
  <c r="G87"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803" i="121" l="1"/>
  <c r="E103" i="111"/>
  <c r="F86" i="111"/>
  <c r="G81" i="111"/>
  <c r="G84" i="111" s="1"/>
  <c r="I78" i="111"/>
  <c r="H79" i="111"/>
  <c r="H87" i="111"/>
  <c r="H80" i="111"/>
  <c r="E62" i="100"/>
  <c r="K37" i="100"/>
  <c r="C40" i="100"/>
  <c r="K35" i="100"/>
  <c r="K62" i="100"/>
  <c r="E803" i="121" l="1"/>
  <c r="F103" i="111"/>
  <c r="G86" i="111"/>
  <c r="J78" i="111"/>
  <c r="I79"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803" i="121" l="1"/>
  <c r="G103" i="111"/>
  <c r="H86" i="111"/>
  <c r="I81" i="111"/>
  <c r="I84" i="111" s="1"/>
  <c r="K78" i="111"/>
  <c r="J87" i="111"/>
  <c r="J79" i="111"/>
  <c r="J80" i="111"/>
  <c r="G803" i="121" l="1"/>
  <c r="H103" i="111"/>
  <c r="I86" i="111"/>
  <c r="J81" i="111"/>
  <c r="J84" i="111" s="1"/>
  <c r="B108" i="111"/>
  <c r="K87" i="111"/>
  <c r="K79" i="111"/>
  <c r="K80" i="111"/>
  <c r="F18" i="85"/>
  <c r="H803" i="121" l="1"/>
  <c r="I103" i="111"/>
  <c r="J86" i="111"/>
  <c r="C108" i="111"/>
  <c r="B109" i="111"/>
  <c r="B117" i="111"/>
  <c r="B110" i="111"/>
  <c r="K81" i="111"/>
  <c r="K84" i="111" s="1"/>
  <c r="E242" i="72"/>
  <c r="I803" i="121" l="1"/>
  <c r="J103" i="111"/>
  <c r="K86" i="111"/>
  <c r="B111" i="111"/>
  <c r="B114" i="111" s="1"/>
  <c r="D108" i="111"/>
  <c r="C109" i="111"/>
  <c r="C117" i="111"/>
  <c r="C110" i="111"/>
  <c r="Q295" i="72"/>
  <c r="Q298" i="72"/>
  <c r="Q94" i="72"/>
  <c r="Q312" i="72"/>
  <c r="Q311" i="72"/>
  <c r="J803" i="121" l="1"/>
  <c r="K103" i="111"/>
  <c r="B116" i="111"/>
  <c r="E108" i="111"/>
  <c r="D109" i="111"/>
  <c r="D117" i="111"/>
  <c r="D110" i="111"/>
  <c r="C111" i="111"/>
  <c r="C114" i="111" s="1"/>
  <c r="I91" i="72"/>
  <c r="K803" i="121" l="1"/>
  <c r="B133" i="111"/>
  <c r="C116" i="111"/>
  <c r="D111" i="111"/>
  <c r="D114" i="111" s="1"/>
  <c r="F108" i="111"/>
  <c r="E109" i="111"/>
  <c r="E117" i="111"/>
  <c r="E110" i="111"/>
  <c r="L285" i="72"/>
  <c r="B833" i="121" l="1"/>
  <c r="C133" i="111"/>
  <c r="D116" i="111"/>
  <c r="F109" i="111"/>
  <c r="F117" i="111"/>
  <c r="F110" i="111"/>
  <c r="E111" i="111"/>
  <c r="E114" i="111" s="1"/>
  <c r="Q339" i="73"/>
  <c r="H152" i="72"/>
  <c r="C833" i="121" l="1"/>
  <c r="D133" i="111"/>
  <c r="E116" i="111"/>
  <c r="F111" i="111"/>
  <c r="F114" i="111" s="1"/>
  <c r="L184" i="72"/>
  <c r="D833" i="121" l="1"/>
  <c r="E133" i="111"/>
  <c r="F116"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I72" i="100" l="1"/>
  <c r="I76" i="100"/>
  <c r="I73" i="100" s="1"/>
  <c r="G72" i="100"/>
  <c r="G76" i="100"/>
  <c r="G73" i="100" s="1"/>
  <c r="K72" i="100"/>
  <c r="K76" i="100"/>
  <c r="K73" i="100" s="1"/>
  <c r="E72" i="100"/>
  <c r="E76" i="100"/>
  <c r="E73" i="100" s="1"/>
  <c r="P91" i="72"/>
  <c r="O442" i="72"/>
  <c r="Y37" i="72"/>
  <c r="X37" i="72"/>
  <c r="AD37" i="72"/>
  <c r="AE37" i="72"/>
  <c r="D57" i="86" l="1"/>
  <c r="D58" i="86" s="1"/>
  <c r="D60" i="86" s="1"/>
  <c r="D64" i="86" s="1"/>
  <c r="K21" i="86" s="1"/>
  <c r="E57" i="86" l="1"/>
  <c r="E58" i="86" s="1"/>
  <c r="E60" i="86" s="1"/>
  <c r="E64" i="86" s="1"/>
  <c r="K22" i="86" s="1"/>
  <c r="F57" i="86" l="1"/>
  <c r="F58" i="86" s="1"/>
  <c r="F60" i="86" s="1"/>
  <c r="F64" i="86" s="1"/>
  <c r="K23" i="86" s="1"/>
  <c r="G57" i="86" l="1"/>
  <c r="G58" i="86" s="1"/>
  <c r="G60" i="86" s="1"/>
  <c r="G64" i="86" s="1"/>
  <c r="K24" i="86" s="1"/>
  <c r="O8" i="86"/>
  <c r="O14" i="86" s="1"/>
  <c r="O33" i="86" s="1"/>
  <c r="H63" i="86" s="1"/>
  <c r="H57" i="86" l="1"/>
  <c r="H58" i="86" s="1"/>
  <c r="H60" i="86" s="1"/>
  <c r="H64" i="86" s="1"/>
  <c r="K25" i="86" s="1"/>
  <c r="C86" i="90"/>
  <c r="F61" i="89"/>
  <c r="E15" i="72" l="1"/>
  <c r="E20" i="72" l="1"/>
  <c r="E21" i="72" l="1"/>
  <c r="E16" i="72" l="1"/>
  <c r="P233" i="72"/>
  <c r="P442" i="72" s="1"/>
  <c r="O6" i="72" l="1"/>
  <c r="L233" i="72"/>
  <c r="L191" i="72"/>
  <c r="AE45" i="72"/>
  <c r="AE63" i="72" s="1"/>
  <c r="AD45" i="72"/>
  <c r="AD63" i="72" s="1"/>
  <c r="Y45" i="72"/>
  <c r="Y63" i="72" s="1"/>
  <c r="X45" i="72"/>
  <c r="X63" i="72" s="1"/>
  <c r="P6" i="72"/>
  <c r="E19" i="72"/>
  <c r="F665" i="121"/>
  <c r="F669" i="121" s="1"/>
  <c r="Q670" i="121" s="1"/>
  <c r="F231" i="110"/>
  <c r="Q232" i="110" s="1"/>
  <c r="Q251" i="110" s="1"/>
  <c r="N670" i="121" l="1"/>
  <c r="P671" i="121"/>
  <c r="Q689" i="121"/>
  <c r="B21" i="111"/>
  <c r="B721" i="121"/>
  <c r="F240" i="121"/>
  <c r="F130" i="107"/>
  <c r="F241" i="121"/>
  <c r="F131" i="107"/>
  <c r="P233" i="110"/>
  <c r="I53" i="111" l="1"/>
  <c r="K85" i="111"/>
  <c r="J53" i="111"/>
  <c r="C21" i="111"/>
  <c r="K53" i="111"/>
  <c r="D21" i="111"/>
  <c r="B85" i="111"/>
  <c r="E21" i="111"/>
  <c r="C85" i="111"/>
  <c r="F21" i="111"/>
  <c r="B39" i="111"/>
  <c r="B53" i="111"/>
  <c r="D85" i="111"/>
  <c r="B115" i="111"/>
  <c r="G21" i="111"/>
  <c r="C53" i="111"/>
  <c r="E85" i="111"/>
  <c r="C115" i="111"/>
  <c r="H21" i="111"/>
  <c r="B25" i="111"/>
  <c r="D53" i="111"/>
  <c r="F85" i="111"/>
  <c r="D115" i="111"/>
  <c r="I21" i="111"/>
  <c r="E53" i="111"/>
  <c r="G85" i="111"/>
  <c r="E115" i="111"/>
  <c r="J21" i="111"/>
  <c r="F53" i="111"/>
  <c r="H85" i="111"/>
  <c r="F115" i="111"/>
  <c r="H53" i="111"/>
  <c r="K21" i="111"/>
  <c r="I85" i="111"/>
  <c r="G53" i="111"/>
  <c r="J85" i="111"/>
  <c r="B38" i="111" l="1"/>
  <c r="B34" i="111"/>
  <c r="D71" i="111"/>
  <c r="D57" i="111"/>
  <c r="K57" i="111"/>
  <c r="K71" i="111"/>
  <c r="J102" i="111"/>
  <c r="J89" i="111"/>
  <c r="D119" i="111"/>
  <c r="D132" i="111"/>
  <c r="F39" i="111"/>
  <c r="F25" i="111"/>
  <c r="E119" i="111"/>
  <c r="E132" i="111"/>
  <c r="I39" i="111"/>
  <c r="I25" i="111"/>
  <c r="B57" i="111"/>
  <c r="B71" i="111"/>
  <c r="G71" i="111"/>
  <c r="G57" i="111"/>
  <c r="I102" i="111"/>
  <c r="I89" i="111"/>
  <c r="F89" i="111"/>
  <c r="F102" i="111"/>
  <c r="K39" i="111"/>
  <c r="K25" i="111"/>
  <c r="C89" i="111"/>
  <c r="C102" i="111"/>
  <c r="H71" i="111"/>
  <c r="H57" i="111"/>
  <c r="B44" i="82"/>
  <c r="B32" i="111"/>
  <c r="E39" i="111"/>
  <c r="E25" i="111"/>
  <c r="F119" i="111"/>
  <c r="F132" i="111"/>
  <c r="H25" i="111"/>
  <c r="H39" i="111"/>
  <c r="B89" i="111"/>
  <c r="B102" i="111"/>
  <c r="H102" i="111"/>
  <c r="H89" i="111"/>
  <c r="C132" i="111"/>
  <c r="C119" i="111"/>
  <c r="D39" i="111"/>
  <c r="D25" i="111"/>
  <c r="F71" i="111"/>
  <c r="F57" i="111"/>
  <c r="E89" i="111"/>
  <c r="E102" i="111"/>
  <c r="J39" i="111"/>
  <c r="J25" i="111"/>
  <c r="C71" i="111"/>
  <c r="C57" i="111"/>
  <c r="C39" i="111"/>
  <c r="C25" i="111"/>
  <c r="G25" i="111"/>
  <c r="G39" i="111"/>
  <c r="J71" i="111"/>
  <c r="J57" i="111"/>
  <c r="G102" i="111"/>
  <c r="G89" i="111"/>
  <c r="B132" i="111"/>
  <c r="B119" i="111"/>
  <c r="K102" i="111"/>
  <c r="K89" i="111"/>
  <c r="E71" i="111"/>
  <c r="E57" i="111"/>
  <c r="D89" i="111"/>
  <c r="D102" i="111"/>
  <c r="I71" i="111"/>
  <c r="I57" i="111"/>
  <c r="B33" i="111" l="1"/>
  <c r="P45" i="106"/>
  <c r="F38" i="111"/>
  <c r="F34" i="111"/>
  <c r="E38" i="111"/>
  <c r="E34" i="111"/>
  <c r="I101" i="111"/>
  <c r="I97" i="111"/>
  <c r="G66" i="111"/>
  <c r="G70" i="111"/>
  <c r="J101" i="111"/>
  <c r="J97" i="111"/>
  <c r="I70" i="111"/>
  <c r="I66" i="111"/>
  <c r="F66" i="111"/>
  <c r="F70" i="111"/>
  <c r="G38" i="111"/>
  <c r="G34" i="111"/>
  <c r="B66" i="111"/>
  <c r="B70" i="111"/>
  <c r="K70" i="111"/>
  <c r="K66" i="111"/>
  <c r="F97" i="111"/>
  <c r="F101" i="111"/>
  <c r="D101" i="111"/>
  <c r="D97" i="111"/>
  <c r="D127" i="111"/>
  <c r="D131" i="111"/>
  <c r="B127" i="111"/>
  <c r="B131" i="111"/>
  <c r="J34" i="111"/>
  <c r="J38" i="111"/>
  <c r="I34" i="111"/>
  <c r="I38" i="111"/>
  <c r="D70" i="111"/>
  <c r="D66" i="111"/>
  <c r="F127" i="111"/>
  <c r="F131" i="111"/>
  <c r="D34" i="111"/>
  <c r="D38" i="111"/>
  <c r="C131" i="111"/>
  <c r="C127" i="111"/>
  <c r="C70" i="111"/>
  <c r="C66" i="111"/>
  <c r="H66" i="111"/>
  <c r="H70" i="111"/>
  <c r="C97" i="111"/>
  <c r="C101" i="111"/>
  <c r="E66" i="111"/>
  <c r="E70" i="111"/>
  <c r="C38" i="111"/>
  <c r="C34" i="111"/>
  <c r="B101" i="111"/>
  <c r="B97" i="111"/>
  <c r="G101" i="111"/>
  <c r="G97" i="111"/>
  <c r="K34" i="111"/>
  <c r="K38" i="111"/>
  <c r="J66" i="111"/>
  <c r="J70" i="111"/>
  <c r="K97" i="111"/>
  <c r="K101" i="111"/>
  <c r="H97" i="111"/>
  <c r="H101" i="111"/>
  <c r="E97" i="111"/>
  <c r="E101" i="111"/>
  <c r="H38" i="111"/>
  <c r="H34" i="111"/>
  <c r="E127" i="111"/>
  <c r="E131" i="111"/>
  <c r="J64" i="82"/>
  <c r="J65" i="111"/>
  <c r="D95" i="111"/>
  <c r="D795" i="121" s="1"/>
  <c r="D125" i="111"/>
  <c r="D825" i="121" s="1"/>
  <c r="K44" i="82"/>
  <c r="F125" i="111"/>
  <c r="F825" i="121" s="1"/>
  <c r="F95" i="111"/>
  <c r="F795" i="121" s="1"/>
  <c r="H95" i="111"/>
  <c r="H795" i="121" s="1"/>
  <c r="I64" i="82"/>
  <c r="I65" i="111"/>
  <c r="F44" i="82"/>
  <c r="E125" i="111"/>
  <c r="E825" i="121" s="1"/>
  <c r="E44" i="82"/>
  <c r="E64" i="82"/>
  <c r="C9" i="86"/>
  <c r="G64" i="82"/>
  <c r="G65" i="111"/>
  <c r="K95" i="111"/>
  <c r="K795" i="121" s="1"/>
  <c r="C64" i="82"/>
  <c r="B64" i="82"/>
  <c r="H44" i="82"/>
  <c r="F64" i="82"/>
  <c r="D44" i="82"/>
  <c r="G44" i="82"/>
  <c r="I95" i="111"/>
  <c r="I795" i="121" s="1"/>
  <c r="C44" i="82"/>
  <c r="J95" i="111"/>
  <c r="J795" i="121" s="1"/>
  <c r="B95" i="111"/>
  <c r="B795" i="121" s="1"/>
  <c r="E95" i="111"/>
  <c r="E795" i="121" s="1"/>
  <c r="C125" i="111"/>
  <c r="C825" i="121" s="1"/>
  <c r="C14" i="86"/>
  <c r="B732" i="121"/>
  <c r="B44" i="111"/>
  <c r="B744" i="121" s="1"/>
  <c r="C32" i="111"/>
  <c r="D32" i="111" s="1"/>
  <c r="R21" i="111"/>
  <c r="S21" i="111" s="1"/>
  <c r="B51" i="82"/>
  <c r="B46" i="82"/>
  <c r="H64" i="82"/>
  <c r="H65" i="111"/>
  <c r="B125" i="111"/>
  <c r="B825" i="121" s="1"/>
  <c r="J44" i="82"/>
  <c r="K64" i="82"/>
  <c r="K65" i="111"/>
  <c r="I44" i="82"/>
  <c r="D64" i="82"/>
  <c r="G95" i="111"/>
  <c r="G795" i="121" s="1"/>
  <c r="C95" i="111"/>
  <c r="C795" i="121" s="1"/>
  <c r="P88" i="121" l="1"/>
  <c r="C96" i="111"/>
  <c r="C796" i="121" s="1"/>
  <c r="K96" i="111"/>
  <c r="K796" i="121" s="1"/>
  <c r="D126" i="111"/>
  <c r="E126" i="111"/>
  <c r="G96" i="111"/>
  <c r="G796" i="121" s="1"/>
  <c r="C33" i="111"/>
  <c r="D9" i="86" s="1"/>
  <c r="R22" i="111"/>
  <c r="B126" i="111"/>
  <c r="D96" i="111"/>
  <c r="D796" i="121" s="1"/>
  <c r="E14" i="86"/>
  <c r="D732" i="121"/>
  <c r="D33" i="111"/>
  <c r="E71" i="82"/>
  <c r="E66" i="82"/>
  <c r="F96" i="111"/>
  <c r="F796" i="121" s="1"/>
  <c r="E96" i="111"/>
  <c r="E796" i="121" s="1"/>
  <c r="D46" i="82"/>
  <c r="D51" i="82"/>
  <c r="G66" i="82"/>
  <c r="G71" i="82"/>
  <c r="H66" i="82"/>
  <c r="H71" i="82"/>
  <c r="R23" i="111"/>
  <c r="E51" i="82"/>
  <c r="E46" i="82"/>
  <c r="F126" i="111"/>
  <c r="D71" i="82"/>
  <c r="D66" i="82"/>
  <c r="I51" i="82"/>
  <c r="I46" i="82"/>
  <c r="B96" i="111"/>
  <c r="B796" i="121" s="1"/>
  <c r="F71" i="82"/>
  <c r="F66" i="82"/>
  <c r="K51" i="82"/>
  <c r="K46" i="82"/>
  <c r="H51" i="82"/>
  <c r="H46" i="82"/>
  <c r="K71" i="82"/>
  <c r="K66" i="82"/>
  <c r="E32" i="111"/>
  <c r="R24" i="111" s="1"/>
  <c r="J96" i="111"/>
  <c r="J796" i="121" s="1"/>
  <c r="F51" i="82"/>
  <c r="F46" i="82"/>
  <c r="J51" i="82"/>
  <c r="J46" i="82"/>
  <c r="B71" i="82"/>
  <c r="B66" i="82"/>
  <c r="C46" i="82"/>
  <c r="C51" i="82"/>
  <c r="C71" i="82"/>
  <c r="C66" i="82"/>
  <c r="I71" i="82"/>
  <c r="I66" i="82"/>
  <c r="I96" i="111"/>
  <c r="I796" i="121" s="1"/>
  <c r="D14" i="86"/>
  <c r="C732" i="121"/>
  <c r="C44" i="111"/>
  <c r="C744" i="121" s="1"/>
  <c r="C126" i="111"/>
  <c r="G51" i="82"/>
  <c r="G46" i="82"/>
  <c r="C17" i="86"/>
  <c r="C18" i="86" s="1"/>
  <c r="C20" i="86" s="1"/>
  <c r="C24" i="86" s="1"/>
  <c r="K6" i="86" s="1"/>
  <c r="G66" i="86" s="1"/>
  <c r="N92" i="85" s="1"/>
  <c r="H96" i="111"/>
  <c r="H796" i="121" s="1"/>
  <c r="J71" i="82"/>
  <c r="J66" i="82"/>
  <c r="F34" i="86" l="1"/>
  <c r="B764" i="121"/>
  <c r="B65" i="111"/>
  <c r="F29" i="86" s="1"/>
  <c r="F37" i="86" s="1"/>
  <c r="F38" i="86" s="1"/>
  <c r="F40" i="86" s="1"/>
  <c r="F44" i="86" s="1"/>
  <c r="K16" i="86" s="1"/>
  <c r="G34" i="86"/>
  <c r="C764" i="121"/>
  <c r="C65" i="111"/>
  <c r="G29" i="86" s="1"/>
  <c r="G37" i="86" s="1"/>
  <c r="G38" i="86" s="1"/>
  <c r="G40" i="86" s="1"/>
  <c r="G44" i="86" s="1"/>
  <c r="K17" i="86" s="1"/>
  <c r="I34" i="86"/>
  <c r="E764" i="121"/>
  <c r="E65" i="111"/>
  <c r="I29" i="86" s="1"/>
  <c r="F764" i="121"/>
  <c r="C54" i="86"/>
  <c r="F65" i="111"/>
  <c r="C49" i="86" s="1"/>
  <c r="C57" i="86" s="1"/>
  <c r="C58" i="86" s="1"/>
  <c r="C60" i="86" s="1"/>
  <c r="C64" i="86" s="1"/>
  <c r="K20" i="86" s="1"/>
  <c r="D764" i="121"/>
  <c r="H34" i="86"/>
  <c r="D65" i="111"/>
  <c r="H29" i="86" s="1"/>
  <c r="H37" i="86" s="1"/>
  <c r="H38" i="86" s="1"/>
  <c r="H40" i="86" s="1"/>
  <c r="H44" i="86" s="1"/>
  <c r="K18" i="86" s="1"/>
  <c r="S22" i="111"/>
  <c r="D17" i="86"/>
  <c r="D18" i="86" s="1"/>
  <c r="D20" i="86" s="1"/>
  <c r="D24" i="86" s="1"/>
  <c r="K7" i="86" s="1"/>
  <c r="B25" i="82"/>
  <c r="G52" i="82" s="1"/>
  <c r="G54" i="82" s="1"/>
  <c r="F14" i="86"/>
  <c r="E732" i="121"/>
  <c r="E33" i="111"/>
  <c r="S24" i="111" s="1"/>
  <c r="E9" i="86"/>
  <c r="D44" i="111"/>
  <c r="D744" i="121" s="1"/>
  <c r="F32" i="111"/>
  <c r="S23" i="111"/>
  <c r="I37" i="86" l="1"/>
  <c r="I38" i="86" s="1"/>
  <c r="I40" i="86" s="1"/>
  <c r="I44" i="86" s="1"/>
  <c r="K19" i="86" s="1"/>
  <c r="J52" i="82"/>
  <c r="J54" i="82" s="1"/>
  <c r="J55" i="82" s="1"/>
  <c r="J56" i="82" s="1"/>
  <c r="B26" i="82"/>
  <c r="B5" i="82" s="1"/>
  <c r="B6" i="82" s="1"/>
  <c r="B7" i="82" s="1"/>
  <c r="H72" i="82"/>
  <c r="H74" i="82" s="1"/>
  <c r="H75" i="82" s="1"/>
  <c r="H76" i="82" s="1"/>
  <c r="D52" i="82"/>
  <c r="D54" i="82" s="1"/>
  <c r="D55" i="82" s="1"/>
  <c r="D56" i="82" s="1"/>
  <c r="C52" i="82"/>
  <c r="C54" i="82" s="1"/>
  <c r="C55" i="82" s="1"/>
  <c r="C56" i="82" s="1"/>
  <c r="F72" i="82"/>
  <c r="F74" i="82" s="1"/>
  <c r="F75" i="82" s="1"/>
  <c r="F76" i="82" s="1"/>
  <c r="B52" i="82"/>
  <c r="B54" i="82" s="1"/>
  <c r="B55" i="82" s="1"/>
  <c r="B56" i="82" s="1"/>
  <c r="E72" i="82"/>
  <c r="E74" i="82" s="1"/>
  <c r="E75" i="82" s="1"/>
  <c r="E76" i="82" s="1"/>
  <c r="D72" i="82"/>
  <c r="D74" i="82" s="1"/>
  <c r="D75" i="82" s="1"/>
  <c r="D76" i="82" s="1"/>
  <c r="F52" i="82"/>
  <c r="F54" i="82" s="1"/>
  <c r="F55" i="82" s="1"/>
  <c r="F56" i="82" s="1"/>
  <c r="C72" i="82"/>
  <c r="C74" i="82" s="1"/>
  <c r="C75" i="82" s="1"/>
  <c r="C76" i="82" s="1"/>
  <c r="I72" i="82"/>
  <c r="I74" i="82" s="1"/>
  <c r="I75" i="82" s="1"/>
  <c r="I76" i="82" s="1"/>
  <c r="K52" i="82"/>
  <c r="K54" i="82" s="1"/>
  <c r="K55" i="82" s="1"/>
  <c r="K56" i="82" s="1"/>
  <c r="E52" i="82"/>
  <c r="E54" i="82" s="1"/>
  <c r="E55" i="82" s="1"/>
  <c r="E56" i="82" s="1"/>
  <c r="B72" i="82"/>
  <c r="B74" i="82" s="1"/>
  <c r="B75" i="82" s="1"/>
  <c r="B76" i="82" s="1"/>
  <c r="J72" i="82"/>
  <c r="J74" i="82" s="1"/>
  <c r="J75" i="82" s="1"/>
  <c r="J76" i="82" s="1"/>
  <c r="I52" i="82"/>
  <c r="I54" i="82" s="1"/>
  <c r="I55" i="82" s="1"/>
  <c r="I56" i="82" s="1"/>
  <c r="G72" i="82"/>
  <c r="G74" i="82" s="1"/>
  <c r="G75" i="82" s="1"/>
  <c r="G76" i="82" s="1"/>
  <c r="K72" i="82"/>
  <c r="K74" i="82" s="1"/>
  <c r="K75" i="82" s="1"/>
  <c r="K76" i="82" s="1"/>
  <c r="H52" i="82"/>
  <c r="H54" i="82" s="1"/>
  <c r="H55" i="82" s="1"/>
  <c r="H56" i="82" s="1"/>
  <c r="G14" i="86"/>
  <c r="F732" i="121"/>
  <c r="F33" i="111"/>
  <c r="R25" i="111"/>
  <c r="G32" i="111"/>
  <c r="R26" i="111" s="1"/>
  <c r="G55" i="82"/>
  <c r="G56" i="82" s="1"/>
  <c r="E17" i="86"/>
  <c r="E18" i="86" s="1"/>
  <c r="E20" i="86" s="1"/>
  <c r="E24" i="86" s="1"/>
  <c r="K8" i="86" s="1"/>
  <c r="F9" i="86"/>
  <c r="E44" i="111"/>
  <c r="E744" i="121" s="1"/>
  <c r="G58" i="82" l="1"/>
  <c r="D58" i="82"/>
  <c r="C58" i="82"/>
  <c r="H78" i="82"/>
  <c r="B28" i="82"/>
  <c r="B29" i="82" s="1"/>
  <c r="F78" i="82"/>
  <c r="J58" i="82"/>
  <c r="B9" i="82"/>
  <c r="B10" i="82" s="1"/>
  <c r="B11" i="82" s="1"/>
  <c r="B58" i="82"/>
  <c r="E78" i="82"/>
  <c r="H58" i="82"/>
  <c r="K78" i="82"/>
  <c r="F58" i="82"/>
  <c r="C78" i="82"/>
  <c r="K58" i="82"/>
  <c r="B78" i="82" s="1"/>
  <c r="J78" i="82"/>
  <c r="I78" i="82"/>
  <c r="D78" i="82"/>
  <c r="I58" i="82"/>
  <c r="E58" i="82"/>
  <c r="G78" i="82"/>
  <c r="H14" i="86"/>
  <c r="G732" i="121"/>
  <c r="G33" i="111"/>
  <c r="S26" i="111" s="1"/>
  <c r="G9" i="86"/>
  <c r="F44" i="111"/>
  <c r="F744" i="121" s="1"/>
  <c r="H32" i="111"/>
  <c r="F17" i="86"/>
  <c r="F18" i="86" s="1"/>
  <c r="F20" i="86" s="1"/>
  <c r="F24" i="86" s="1"/>
  <c r="K9" i="86" s="1"/>
  <c r="S25" i="111"/>
  <c r="G21" i="82" l="1"/>
  <c r="I32" i="111"/>
  <c r="J32" i="111" s="1"/>
  <c r="G17" i="86"/>
  <c r="G18" i="86" s="1"/>
  <c r="G20" i="86" s="1"/>
  <c r="G24" i="86" s="1"/>
  <c r="K10" i="86" s="1"/>
  <c r="H9" i="86"/>
  <c r="I14" i="86"/>
  <c r="H732" i="121"/>
  <c r="H33" i="111"/>
  <c r="R27" i="111"/>
  <c r="G44" i="111"/>
  <c r="G744" i="121" s="1"/>
  <c r="H44" i="111" l="1"/>
  <c r="H744" i="121" s="1"/>
  <c r="R28" i="111"/>
  <c r="I33" i="111"/>
  <c r="C29" i="86" s="1"/>
  <c r="C34" i="86"/>
  <c r="I732" i="121"/>
  <c r="S27" i="111"/>
  <c r="J732" i="121"/>
  <c r="D34" i="86"/>
  <c r="J33" i="111"/>
  <c r="D29" i="86" s="1"/>
  <c r="K32" i="111"/>
  <c r="R36" i="111" s="1"/>
  <c r="R29" i="111"/>
  <c r="I9" i="86"/>
  <c r="H17" i="86"/>
  <c r="H18" i="86" s="1"/>
  <c r="H20" i="86" s="1"/>
  <c r="H24" i="86" s="1"/>
  <c r="K11" i="86" s="1"/>
  <c r="D37" i="86" l="1"/>
  <c r="D38" i="86" s="1"/>
  <c r="C37" i="86"/>
  <c r="C38" i="86" s="1"/>
  <c r="C40" i="86" s="1"/>
  <c r="C44" i="86" s="1"/>
  <c r="K13" i="86" s="1"/>
  <c r="I44" i="111"/>
  <c r="I744" i="121" s="1"/>
  <c r="S28" i="111"/>
  <c r="R32" i="111"/>
  <c r="R37" i="111"/>
  <c r="R38" i="111"/>
  <c r="R33" i="111"/>
  <c r="R30" i="111"/>
  <c r="R35" i="111"/>
  <c r="I47" i="106" s="1"/>
  <c r="I90" i="121" s="1"/>
  <c r="R31" i="111"/>
  <c r="R34" i="111"/>
  <c r="R40" i="111"/>
  <c r="K33" i="111"/>
  <c r="E34" i="86"/>
  <c r="K732" i="121"/>
  <c r="S29" i="111"/>
  <c r="D40" i="86"/>
  <c r="D44" i="86" s="1"/>
  <c r="K14" i="86" s="1"/>
  <c r="R39" i="111"/>
  <c r="I17" i="86"/>
  <c r="I18" i="86" s="1"/>
  <c r="I20" i="86" s="1"/>
  <c r="I24" i="86" s="1"/>
  <c r="K12" i="86" s="1"/>
  <c r="J44" i="111" l="1"/>
  <c r="J744" i="121" s="1"/>
  <c r="S40" i="111"/>
  <c r="S30" i="111"/>
  <c r="S36" i="111"/>
  <c r="S34" i="111"/>
  <c r="S37" i="111"/>
  <c r="S31" i="111"/>
  <c r="S33" i="111"/>
  <c r="E29" i="86"/>
  <c r="S32" i="111"/>
  <c r="S35" i="111"/>
  <c r="F47" i="106" s="1"/>
  <c r="L47" i="106" s="1"/>
  <c r="L90" i="121" s="1"/>
  <c r="S38" i="111"/>
  <c r="S39" i="111"/>
  <c r="K44" i="111"/>
  <c r="F90" i="121" l="1"/>
  <c r="E37" i="86"/>
  <c r="E38" i="86" s="1"/>
  <c r="E40" i="86" s="1"/>
  <c r="E44" i="86" s="1"/>
  <c r="K15" i="86" s="1"/>
  <c r="K744" i="121"/>
  <c r="B76" i="111"/>
  <c r="B776" i="121" l="1"/>
  <c r="C76" i="111"/>
  <c r="C776" i="121" l="1"/>
  <c r="D76" i="111"/>
  <c r="E76" i="111" l="1"/>
  <c r="D776" i="121"/>
  <c r="F76" i="111" l="1"/>
  <c r="E776" i="121"/>
  <c r="G76" i="111" l="1"/>
  <c r="G776" i="121" s="1"/>
  <c r="F776"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<sst xmlns="http://schemas.openxmlformats.org/spreadsheetml/2006/main" count="14337" uniqueCount="5221">
  <si>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</si>
  <si>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</si>
  <si>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</si>
  <si>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</si>
  <si>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</si>
  <si>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</si>
  <si>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</si>
  <si>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</si>
  <si>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</si>
  <si>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</si>
  <si>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</si>
  <si>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</si>
  <si>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</si>
  <si>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</si>
  <si>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</si>
  <si>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</si>
  <si>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</si>
  <si>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</si>
  <si>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</si>
  <si>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</si>
  <si>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</si>
  <si>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</si>
  <si>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</si>
  <si>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</si>
  <si>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</si>
  <si>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</si>
  <si>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</si>
  <si>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</si>
  <si>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</si>
  <si>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</si>
  <si>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</si>
  <si>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</si>
  <si>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</si>
  <si>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</si>
  <si>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</si>
  <si>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</si>
  <si>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</si>
  <si>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</si>
  <si>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</si>
  <si>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</si>
  <si>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</si>
  <si>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</si>
  <si>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</si>
  <si>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</si>
  <si>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</si>
  <si>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</si>
  <si>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</si>
  <si>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</si>
  <si>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</si>
  <si>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</si>
  <si>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</si>
  <si>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</si>
  <si>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</si>
  <si>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</si>
  <si>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</si>
  <si>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</si>
  <si>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</si>
  <si>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</si>
  <si>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</si>
  <si>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</si>
  <si>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</si>
  <si>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</si>
  <si>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</si>
  <si>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</si>
  <si>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</si>
  <si>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</si>
  <si>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</si>
  <si>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</si>
  <si>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</si>
  <si>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</si>
  <si>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</si>
  <si>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</si>
  <si>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</si>
  <si>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</si>
  <si>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</si>
  <si>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</si>
  <si>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</si>
  <si>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</si>
  <si>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</si>
  <si>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</si>
  <si>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</si>
  <si>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</si>
  <si>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</si>
  <si>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</si>
  <si>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</si>
  <si>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</si>
  <si>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</si>
  <si>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</si>
  <si>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</si>
  <si>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</si>
  <si>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</si>
  <si>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</si>
  <si>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</si>
  <si>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</si>
  <si>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</si>
  <si>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</si>
  <si>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</si>
  <si>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</si>
  <si>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</si>
  <si>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</si>
  <si>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</si>
  <si>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</si>
  <si>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</si>
  <si>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</si>
  <si>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</si>
  <si>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</si>
  <si>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</si>
  <si>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</si>
  <si>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</si>
  <si>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</si>
  <si>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</si>
  <si>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</si>
  <si>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</si>
  <si>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</si>
  <si>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</si>
  <si>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</si>
  <si>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</si>
  <si>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</si>
  <si>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</si>
  <si>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</si>
  <si>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</si>
  <si>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</si>
  <si>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</si>
  <si>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</si>
  <si>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</si>
  <si>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</si>
  <si>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</si>
  <si>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</si>
  <si>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</si>
  <si>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</si>
  <si>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</si>
  <si>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</si>
  <si>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</si>
  <si>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</si>
  <si>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</si>
  <si>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</si>
  <si>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</si>
  <si>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</si>
  <si>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</si>
  <si>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</si>
  <si>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</si>
  <si>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</si>
  <si>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</si>
  <si>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</si>
  <si>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</si>
  <si>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</si>
  <si>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</si>
  <si>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</si>
  <si>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</si>
  <si>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</si>
  <si>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</si>
  <si>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</si>
  <si>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</si>
  <si>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</si>
  <si>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</si>
  <si>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</si>
  <si>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</si>
  <si>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</si>
  <si>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</si>
  <si>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</si>
  <si>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</si>
  <si>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</si>
  <si>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</si>
  <si>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</si>
  <si>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</si>
  <si>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</si>
  <si>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</si>
  <si>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</si>
  <si>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</si>
  <si>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</si>
  <si>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</si>
  <si>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</si>
  <si>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</si>
  <si>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</si>
  <si>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</si>
  <si>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</si>
  <si>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</si>
  <si>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</si>
  <si>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</si>
  <si>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</si>
  <si>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</si>
  <si>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</si>
  <si>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</si>
  <si>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</si>
  <si>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</si>
  <si>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</si>
  <si>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</si>
  <si>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</si>
  <si>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</si>
  <si>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</si>
  <si>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</si>
  <si>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</si>
  <si>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</si>
  <si>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</si>
  <si>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</si>
  <si>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</si>
  <si>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</si>
  <si>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</si>
  <si>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</si>
  <si>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</si>
  <si>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</si>
  <si>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</si>
  <si>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</si>
  <si>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</si>
  <si>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</si>
  <si>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</si>
  <si>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</si>
  <si>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</si>
  <si>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</si>
  <si>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</si>
  <si>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</si>
  <si>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</si>
  <si>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</si>
  <si>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</si>
  <si>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</si>
  <si>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</si>
  <si>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</si>
  <si>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</si>
  <si>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</si>
  <si>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</si>
  <si>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</si>
  <si>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</si>
  <si>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</si>
  <si>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</si>
  <si>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</si>
  <si>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</si>
  <si>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</si>
  <si>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</si>
  <si>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</si>
  <si>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</si>
  <si>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</si>
  <si>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</si>
  <si>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</si>
  <si>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</si>
  <si>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</si>
  <si>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</si>
  <si>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</si>
  <si>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</si>
  <si>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</si>
  <si>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</si>
  <si>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</si>
  <si>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</si>
  <si>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</si>
  <si>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</si>
  <si>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</si>
  <si>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</si>
  <si>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</si>
  <si>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</si>
  <si>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</si>
  <si>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</si>
  <si>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</si>
  <si>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</si>
  <si>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</si>
  <si>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</si>
  <si>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</si>
  <si>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</si>
  <si>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</si>
  <si>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</si>
  <si>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</si>
  <si>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</si>
  <si>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</si>
  <si>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</si>
  <si>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</si>
  <si>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</si>
  <si>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</si>
  <si>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</si>
  <si>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</si>
  <si>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</si>
  <si>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</si>
  <si>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</si>
  <si>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</si>
  <si>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</si>
  <si>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</si>
  <si>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</si>
  <si>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</si>
  <si>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</si>
  <si>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</si>
  <si>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</si>
  <si>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</si>
  <si>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</si>
  <si>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</si>
  <si>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</si>
  <si>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</si>
  <si>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</si>
  <si>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</si>
  <si>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</si>
  <si>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</si>
  <si>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</si>
  <si>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</si>
  <si>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</si>
  <si>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</si>
  <si>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</si>
  <si>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</si>
  <si>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</si>
  <si>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</si>
  <si>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</si>
  <si>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</si>
  <si>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</si>
  <si>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</si>
  <si>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</si>
  <si>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</si>
  <si>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</si>
  <si>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</si>
  <si>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</si>
  <si>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</si>
  <si>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</si>
  <si>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</si>
  <si>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</si>
  <si>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</si>
  <si>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</si>
  <si>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</si>
  <si>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</si>
  <si>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</si>
  <si>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</si>
  <si>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</si>
  <si>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</si>
  <si>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</si>
  <si>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</si>
  <si>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</si>
  <si>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</si>
  <si>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</si>
  <si>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</si>
  <si>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</si>
  <si>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</si>
  <si>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</si>
  <si>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</si>
  <si>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</si>
  <si>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</si>
  <si>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</si>
  <si>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</si>
  <si>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</si>
  <si>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</si>
  <si>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</si>
  <si>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</si>
  <si>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</si>
  <si>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</si>
  <si>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</si>
  <si>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</si>
  <si>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</si>
  <si>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</si>
  <si>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</si>
  <si>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</si>
  <si>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</si>
  <si>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</si>
  <si>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</si>
  <si>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</si>
  <si>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</si>
  <si>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</si>
  <si>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</si>
  <si>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</si>
  <si>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</si>
  <si>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</si>
  <si>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</si>
  <si>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</si>
  <si>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</si>
  <si>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</si>
  <si>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</si>
  <si>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</si>
  <si>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</si>
  <si>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</si>
  <si>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</si>
  <si>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</si>
  <si>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</si>
  <si>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</si>
  <si>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</si>
  <si>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</si>
  <si>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</si>
  <si>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</si>
  <si>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</si>
  <si>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</si>
  <si>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</si>
  <si>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</si>
  <si>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</si>
  <si>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</si>
  <si>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</si>
  <si>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</si>
  <si>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</si>
  <si>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</si>
  <si>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</si>
  <si>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</si>
  <si>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</si>
  <si>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</si>
  <si>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</si>
  <si>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</si>
  <si>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</si>
  <si>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</si>
  <si>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</si>
  <si>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</si>
  <si>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</si>
  <si>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</si>
  <si>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</si>
  <si>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</si>
  <si>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</si>
  <si>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</si>
  <si>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</si>
  <si>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</si>
  <si>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</si>
  <si>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</si>
  <si>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</si>
  <si>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</si>
  <si>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</si>
  <si>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</si>
  <si>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</si>
  <si>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</si>
  <si>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</si>
  <si>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</si>
  <si>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</si>
  <si>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</si>
  <si>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</si>
  <si>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</si>
  <si>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</si>
  <si>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</si>
  <si>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</si>
  <si>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</si>
  <si>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</si>
  <si>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</si>
  <si>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</si>
  <si>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</si>
  <si>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</si>
  <si>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</si>
  <si>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</si>
  <si>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</si>
  <si>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</si>
  <si>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</si>
  <si>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</si>
  <si>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</si>
  <si>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</si>
  <si>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</si>
  <si>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</si>
  <si>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</si>
  <si>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</si>
  <si>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</si>
  <si>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</si>
  <si>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</si>
  <si>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</si>
  <si>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</si>
  <si>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</si>
  <si>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</si>
  <si>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</si>
  <si>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</si>
  <si>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</si>
  <si>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</si>
  <si>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</si>
  <si>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</si>
  <si>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</si>
  <si>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</si>
  <si>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</si>
  <si>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</si>
  <si>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</si>
  <si>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</si>
  <si>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</si>
  <si>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</si>
  <si>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</si>
  <si>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</si>
  <si>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</si>
  <si>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</si>
  <si>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</si>
  <si>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</si>
  <si>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</si>
  <si>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</si>
  <si>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</si>
  <si>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</si>
  <si>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</si>
  <si>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</si>
  <si>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</si>
  <si>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</si>
  <si>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</si>
  <si>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</si>
  <si>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</si>
  <si>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</si>
  <si>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</si>
  <si>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</si>
  <si>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</si>
  <si>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</si>
  <si>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</si>
  <si>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</si>
  <si>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</si>
  <si>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</si>
  <si>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</si>
  <si>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</si>
  <si>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</si>
  <si>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</si>
  <si>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</si>
  <si>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</si>
  <si>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</si>
  <si>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</si>
  <si>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</si>
  <si>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</si>
  <si>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</si>
  <si>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</si>
  <si>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</si>
  <si>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</si>
  <si>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</si>
  <si>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</si>
  <si>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</si>
  <si>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</si>
  <si>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</si>
  <si>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</si>
  <si>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</si>
  <si>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</si>
  <si>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</si>
  <si>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</si>
  <si>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</si>
  <si>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</si>
  <si>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</si>
  <si>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</si>
  <si>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</si>
  <si>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</si>
  <si>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</si>
  <si>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</si>
  <si>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</si>
  <si>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</si>
  <si>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</si>
  <si>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</si>
  <si>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</si>
  <si>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</si>
  <si>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</si>
  <si>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</si>
  <si>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</si>
  <si>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</si>
  <si>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</si>
  <si>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</si>
  <si>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</si>
  <si>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</si>
  <si>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</si>
  <si>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</si>
  <si>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</si>
  <si>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</si>
  <si>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</si>
  <si>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</si>
  <si>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</si>
  <si>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</si>
  <si>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</si>
  <si>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</si>
  <si>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</si>
  <si>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</si>
  <si>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</si>
  <si>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</si>
  <si>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</si>
  <si>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</si>
  <si>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</si>
  <si>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</si>
  <si>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</si>
  <si>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</si>
  <si>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</si>
  <si>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</si>
  <si>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</si>
  <si>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</si>
  <si>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</si>
  <si>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</si>
  <si>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</si>
  <si>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</si>
  <si>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</si>
  <si>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</si>
  <si>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</si>
  <si>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</si>
  <si>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</si>
  <si>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</si>
  <si>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</si>
  <si>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</si>
  <si>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</si>
  <si>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</si>
  <si>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</si>
  <si>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</si>
  <si>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</si>
  <si>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</si>
  <si>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</si>
  <si>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</si>
  <si>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</si>
  <si>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</si>
  <si>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</si>
  <si>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</si>
  <si>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</si>
  <si>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</si>
  <si>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</si>
  <si>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</si>
  <si>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</si>
  <si>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</si>
  <si>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</si>
  <si>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</si>
  <si>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</si>
  <si>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</si>
  <si>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</si>
  <si>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</si>
  <si>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</si>
  <si>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</si>
  <si>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</si>
  <si>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</si>
  <si>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</si>
  <si>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</si>
  <si>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</si>
  <si>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</si>
  <si>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</si>
  <si>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</si>
  <si>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</si>
  <si>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</si>
  <si>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</si>
  <si>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</si>
  <si>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</si>
  <si>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</si>
  <si>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</si>
  <si>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</si>
  <si>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</si>
  <si>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</si>
  <si>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</si>
  <si>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</si>
  <si>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</si>
  <si>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</si>
  <si>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</si>
  <si>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</si>
  <si>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</si>
  <si>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</si>
  <si>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</si>
  <si>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</si>
  <si>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</si>
  <si>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</si>
  <si>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</si>
  <si>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</si>
  <si>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</si>
  <si>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</si>
  <si>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</si>
  <si>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</si>
  <si>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</si>
  <si>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</si>
  <si>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</si>
  <si>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</si>
  <si>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</si>
  <si>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</si>
  <si>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</si>
  <si>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</si>
  <si>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</si>
  <si>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</si>
  <si>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</si>
  <si>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</si>
  <si>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</si>
  <si>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</si>
  <si>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</si>
  <si>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</si>
  <si>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</si>
  <si>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</si>
  <si>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</si>
  <si>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</si>
  <si>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</si>
  <si>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</si>
  <si>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</si>
  <si>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</si>
  <si>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</si>
  <si>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</si>
  <si>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</si>
  <si>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</si>
  <si>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</si>
  <si>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</si>
  <si>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</si>
  <si>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</si>
  <si>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</si>
  <si>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</si>
  <si>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</si>
  <si>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</si>
  <si>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</si>
  <si>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</si>
  <si>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</si>
  <si>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</si>
  <si>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</si>
  <si>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</si>
  <si>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</si>
  <si>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</si>
  <si>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</si>
  <si>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</si>
  <si>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</si>
  <si>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</si>
  <si>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</si>
  <si>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</si>
  <si>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</si>
  <si>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</si>
  <si>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</si>
  <si>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</si>
  <si>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</si>
  <si>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</si>
  <si>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</si>
  <si>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</si>
  <si>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</si>
  <si>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</si>
  <si>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</si>
  <si>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</si>
  <si>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</si>
  <si>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</si>
  <si>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</si>
  <si>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</si>
  <si>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</si>
  <si>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</si>
  <si>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</si>
  <si>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</si>
  <si>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</si>
  <si>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</si>
  <si>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</si>
  <si>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</si>
  <si>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</si>
  <si>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</si>
  <si>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</si>
  <si>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</si>
  <si>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</si>
  <si>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</si>
  <si>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</si>
  <si>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</si>
  <si>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</si>
  <si>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</si>
  <si>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</si>
  <si>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</si>
  <si>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</si>
  <si>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</si>
  <si>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</si>
  <si>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</si>
  <si>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</si>
  <si>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</si>
  <si>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</si>
  <si>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</si>
  <si>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</si>
  <si>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</si>
  <si>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</si>
  <si>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</si>
  <si>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</si>
  <si>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</si>
  <si>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</si>
  <si>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</si>
  <si>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</si>
  <si>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</si>
  <si>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</si>
  <si>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</si>
  <si>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</si>
  <si>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</si>
  <si>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</si>
  <si>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</si>
  <si>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</si>
  <si>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</si>
  <si>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</si>
  <si>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</si>
  <si>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</si>
  <si>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</si>
  <si>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</si>
  <si>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</si>
  <si>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</si>
  <si>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</si>
  <si>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</si>
  <si>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</si>
  <si>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</si>
  <si>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</si>
  <si>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</si>
  <si>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</si>
  <si>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</si>
  <si>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</si>
  <si>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</si>
  <si>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</si>
  <si>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</si>
  <si>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</si>
  <si>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</si>
  <si>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</si>
  <si>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</si>
  <si>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</si>
  <si>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</si>
  <si>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</si>
  <si>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</si>
  <si>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</si>
  <si>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</si>
  <si>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</si>
  <si>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</si>
  <si>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</si>
  <si>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</si>
  <si>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</si>
  <si>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</si>
  <si>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</si>
  <si>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</si>
  <si>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</si>
  <si>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</si>
  <si>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</si>
  <si>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</si>
  <si>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</si>
  <si>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</si>
  <si>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</si>
  <si>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</si>
  <si>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</si>
  <si>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</si>
  <si>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</si>
  <si>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</si>
  <si>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</si>
  <si>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</si>
  <si>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</si>
  <si>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</si>
  <si>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</si>
  <si>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</si>
  <si>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</si>
  <si>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</si>
  <si>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</si>
  <si>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</si>
  <si>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</si>
  <si>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</si>
  <si>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</si>
  <si>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</si>
  <si>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</si>
  <si>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</si>
  <si>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</si>
  <si>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</si>
  <si>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</si>
  <si>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</si>
  <si>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</si>
  <si>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</si>
  <si>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</si>
  <si>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</si>
  <si>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</si>
  <si>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</si>
  <si>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</si>
  <si>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</si>
  <si>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</si>
  <si>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</si>
  <si>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</si>
  <si>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</si>
  <si>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</si>
  <si>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</si>
  <si>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</si>
  <si>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</si>
  <si>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</si>
  <si>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</si>
  <si>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</si>
  <si>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</si>
  <si>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</si>
  <si>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</si>
  <si>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</si>
  <si>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</si>
  <si>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</si>
  <si>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</si>
  <si>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</si>
  <si>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</si>
  <si>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</si>
  <si>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</si>
  <si>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</si>
  <si>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</si>
  <si>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</si>
  <si>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</si>
  <si>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</si>
  <si>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</si>
  <si>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</si>
  <si>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</si>
  <si>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</si>
  <si>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</si>
  <si>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</si>
  <si>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</si>
  <si>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</si>
  <si>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</si>
  <si>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</si>
  <si>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</si>
  <si>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</si>
  <si>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</si>
  <si>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</si>
  <si>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</si>
  <si>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</si>
  <si>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</si>
  <si>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</si>
  <si>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</si>
  <si>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</si>
  <si>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</si>
  <si>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</si>
  <si>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</si>
  <si>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</si>
  <si>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</si>
  <si>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</si>
  <si>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</si>
  <si>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</si>
  <si>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</si>
  <si>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</si>
  <si>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</si>
  <si>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</si>
  <si>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</si>
  <si>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</si>
  <si>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</si>
  <si>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</si>
  <si>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</si>
  <si>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</si>
  <si>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</si>
  <si>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</si>
  <si>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</si>
  <si>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</si>
  <si>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</si>
  <si>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</si>
  <si>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</si>
  <si>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</si>
  <si>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</si>
  <si>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</si>
  <si>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</si>
  <si>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</si>
  <si>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</si>
  <si>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</si>
  <si>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</si>
  <si>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</si>
  <si>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</si>
  <si>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</si>
  <si>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</si>
  <si>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</si>
  <si>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</si>
  <si>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</si>
  <si>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</si>
  <si>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</si>
  <si>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</si>
  <si>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</si>
  <si>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</si>
  <si>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</si>
  <si>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</si>
  <si>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</si>
  <si>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</si>
  <si>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</si>
  <si>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</si>
  <si>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</si>
  <si>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</si>
  <si>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</si>
  <si>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</si>
  <si>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</si>
  <si>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</si>
  <si>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</si>
  <si>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</si>
  <si>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</si>
  <si>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</si>
  <si>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</si>
  <si>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</si>
  <si>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</si>
  <si>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</si>
  <si>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</si>
  <si>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</si>
  <si>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</si>
  <si>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</si>
  <si>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</si>
  <si>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</si>
  <si>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</si>
  <si>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</si>
  <si>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</si>
  <si>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</si>
  <si>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</si>
  <si>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</si>
  <si>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</si>
  <si>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</si>
  <si>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</si>
  <si>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</si>
  <si>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</si>
  <si>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</si>
  <si>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</si>
  <si>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</si>
  <si>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</si>
  <si>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</si>
  <si>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</si>
  <si>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</si>
  <si>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</si>
  <si>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</si>
  <si>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</si>
  <si>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</si>
  <si>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</si>
  <si>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</si>
  <si>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</si>
  <si>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</si>
  <si>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</si>
  <si>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</si>
  <si>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</si>
  <si>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</si>
  <si>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</si>
  <si>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</si>
  <si>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</si>
  <si>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</si>
  <si>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</si>
  <si>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</si>
  <si>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</si>
  <si>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</si>
  <si>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</si>
  <si>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</si>
  <si>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</si>
  <si>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</si>
  <si>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</si>
  <si>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</si>
  <si>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</si>
  <si>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</si>
  <si>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</si>
  <si>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</si>
  <si>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</si>
  <si>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</si>
  <si>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</si>
  <si>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</si>
  <si>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</si>
  <si>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</si>
  <si>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</si>
  <si>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</si>
  <si>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</si>
  <si>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</si>
  <si>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</si>
  <si>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</si>
  <si>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</si>
  <si>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</si>
  <si>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</si>
  <si>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</si>
  <si>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</si>
  <si>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</si>
  <si>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</si>
  <si>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</si>
  <si>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</si>
  <si>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</si>
  <si>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</si>
  <si>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</si>
  <si>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</si>
  <si>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</si>
  <si>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</si>
  <si>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</si>
  <si>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</si>
  <si>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</si>
  <si>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</si>
  <si>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</si>
  <si>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</si>
  <si>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</si>
  <si>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</si>
  <si>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</si>
  <si>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</si>
  <si>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</si>
  <si>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</si>
  <si>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</si>
  <si>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</si>
  <si>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</si>
  <si>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</si>
  <si>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</si>
  <si>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</si>
  <si>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</si>
  <si>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</si>
  <si>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</si>
  <si>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</si>
  <si>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</si>
  <si>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</si>
  <si>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</si>
  <si>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</si>
  <si>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</si>
  <si>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</si>
  <si>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</si>
  <si>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</si>
  <si>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</si>
  <si>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</si>
  <si>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</si>
  <si>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</si>
  <si>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</si>
  <si>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</si>
  <si>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</si>
  <si>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</si>
  <si>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</si>
  <si>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</si>
  <si>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</si>
  <si>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</si>
  <si>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</si>
  <si>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</si>
  <si>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</si>
  <si>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</si>
  <si>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</si>
  <si>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</si>
  <si>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</si>
  <si>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</si>
  <si>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</si>
  <si>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</si>
  <si>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</si>
  <si>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</si>
  <si>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</si>
  <si>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</si>
  <si>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</si>
  <si>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</si>
  <si>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</si>
  <si>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</si>
  <si>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</si>
  <si>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</si>
  <si>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</si>
  <si>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</si>
  <si>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</si>
  <si>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</si>
  <si>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</si>
  <si>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</si>
  <si>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</si>
  <si>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</si>
  <si>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</si>
  <si>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</si>
  <si>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</si>
  <si>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</si>
  <si>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</si>
  <si>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</si>
  <si>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</si>
  <si>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</si>
  <si>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</si>
  <si>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</si>
  <si>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</si>
  <si>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</si>
  <si>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</si>
  <si>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</si>
  <si>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</si>
  <si>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</si>
  <si>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</si>
  <si>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</si>
  <si>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</si>
  <si>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</si>
  <si>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</si>
  <si>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</si>
  <si>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</si>
  <si>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</si>
  <si>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</si>
  <si>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</si>
  <si>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</si>
  <si>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</si>
  <si>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</si>
  <si>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</si>
  <si>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</si>
  <si>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</si>
  <si>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</si>
  <si>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</si>
  <si>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</si>
  <si>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</si>
  <si>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</si>
  <si>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</si>
  <si>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</si>
  <si>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</si>
  <si>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</si>
  <si>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</si>
  <si>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</si>
  <si>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</si>
  <si>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</si>
  <si>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</si>
  <si>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</si>
  <si>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</si>
  <si>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</si>
  <si>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</si>
  <si>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</si>
  <si>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</si>
  <si>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</si>
  <si>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</si>
  <si>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</si>
  <si>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</si>
  <si>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</si>
  <si>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</si>
  <si>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</si>
  <si>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</si>
  <si>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</si>
  <si>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</si>
  <si>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</si>
  <si>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</si>
  <si>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</si>
  <si>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</si>
  <si>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</si>
  <si>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</si>
  <si>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</si>
  <si>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</si>
  <si>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</si>
  <si>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</si>
  <si>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</si>
  <si>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</si>
  <si>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</si>
  <si>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</si>
  <si>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</si>
  <si>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</si>
  <si>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</si>
  <si>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</si>
  <si>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</si>
  <si>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</si>
  <si>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</si>
  <si>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</si>
  <si>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</si>
  <si>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</si>
  <si>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</si>
  <si>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</si>
  <si>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</si>
  <si>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</si>
  <si>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</si>
  <si>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</si>
  <si>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</si>
  <si>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</si>
  <si>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</si>
  <si>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</si>
  <si>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</si>
  <si>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</si>
  <si>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</si>
  <si>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</si>
  <si>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</si>
  <si>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</si>
  <si>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</si>
  <si>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</si>
  <si>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</si>
  <si>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</si>
  <si>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</si>
  <si>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</si>
  <si>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</si>
  <si>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</si>
  <si>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</si>
  <si>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</si>
  <si>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</si>
  <si>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</si>
  <si>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</si>
  <si>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</si>
  <si>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</si>
  <si>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</si>
  <si>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</si>
  <si>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</si>
  <si>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</si>
  <si>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</si>
  <si>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</si>
  <si>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</si>
  <si>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</si>
  <si>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</si>
  <si>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</si>
  <si>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</si>
  <si>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</si>
  <si>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</si>
  <si>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</si>
  <si>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</si>
  <si>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</si>
  <si>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</si>
  <si>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</si>
  <si>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</si>
  <si>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</si>
  <si>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</si>
  <si>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</si>
  <si>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</si>
  <si>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</si>
  <si>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</si>
  <si>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</si>
  <si>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</si>
  <si>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</si>
  <si>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</si>
  <si>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</si>
  <si>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</si>
  <si>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</si>
  <si>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</si>
  <si>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</si>
  <si>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</si>
  <si>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</si>
  <si>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</si>
  <si>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</si>
  <si>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</si>
  <si>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</si>
  <si>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</si>
  <si>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</si>
  <si>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</si>
  <si>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</si>
  <si>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</si>
  <si>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</si>
  <si>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</si>
  <si>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</si>
  <si>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</si>
  <si>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</si>
  <si>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</si>
  <si>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</si>
  <si>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</si>
  <si>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</si>
  <si>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</si>
  <si>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</si>
  <si>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</si>
  <si>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</si>
  <si>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</si>
  <si>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</si>
  <si>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</si>
  <si>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</si>
  <si>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</si>
  <si>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</si>
  <si>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</si>
  <si>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</si>
  <si>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</si>
  <si>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</si>
  <si>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</si>
  <si>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</si>
  <si>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</si>
  <si>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</si>
  <si>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</si>
  <si>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</si>
  <si>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</si>
  <si>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</si>
  <si>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</si>
  <si>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</si>
  <si>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</si>
  <si>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</si>
  <si>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</si>
  <si>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</si>
  <si>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</si>
  <si>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</si>
  <si>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</si>
  <si>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</si>
  <si>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</si>
  <si>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</si>
  <si>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</si>
  <si>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</si>
  <si>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</si>
  <si>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</si>
  <si>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</si>
  <si>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</si>
  <si>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</si>
  <si>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</si>
  <si>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</si>
  <si>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</si>
  <si>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</si>
  <si>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</si>
  <si>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</si>
  <si>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</si>
  <si>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</si>
  <si>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</si>
  <si>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</si>
  <si>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</si>
  <si>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</si>
  <si>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</si>
  <si>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</si>
  <si>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</si>
  <si>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</si>
  <si>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</si>
  <si>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</si>
  <si>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</si>
  <si>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</si>
  <si>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</si>
  <si>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</si>
  <si>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</si>
  <si>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</si>
  <si>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</si>
  <si>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</si>
  <si>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</si>
  <si>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</si>
  <si>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</si>
  <si>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</si>
  <si>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</si>
  <si>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</si>
  <si>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</si>
  <si>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</si>
  <si>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</si>
  <si>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</si>
  <si>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</si>
  <si>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</si>
  <si>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</si>
  <si>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</si>
  <si>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</si>
  <si>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</si>
  <si>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</si>
  <si>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</si>
  <si>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</si>
  <si>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</si>
  <si>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</si>
  <si>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</si>
  <si>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</si>
  <si>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</si>
  <si>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</si>
  <si>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</si>
  <si>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</si>
  <si>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</si>
  <si>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</si>
  <si>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</si>
  <si>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</si>
  <si>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</si>
  <si>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</si>
  <si>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</si>
  <si>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</si>
  <si>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</si>
  <si>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</si>
  <si>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</si>
  <si>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</si>
  <si>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</si>
  <si>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</si>
  <si>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</si>
  <si>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</si>
  <si>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</si>
  <si>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</si>
  <si>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</si>
  <si>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</si>
  <si>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</si>
  <si>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</si>
  <si>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</si>
  <si>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</si>
  <si>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</si>
  <si>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</si>
  <si>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</si>
  <si>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</si>
  <si>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</si>
  <si>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</si>
  <si>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</si>
  <si>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</si>
  <si>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</si>
  <si>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</si>
  <si>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</si>
  <si>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</si>
  <si>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</si>
  <si>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</si>
  <si>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</si>
  <si>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</si>
  <si>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</si>
  <si>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</si>
  <si>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</si>
  <si>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</si>
  <si>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</si>
  <si>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</si>
  <si>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</si>
  <si>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</si>
  <si>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</si>
  <si>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</si>
  <si>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</si>
  <si>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</si>
  <si>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</si>
  <si>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</si>
  <si>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</si>
  <si>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</si>
  <si>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</si>
  <si>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</si>
  <si>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</si>
  <si>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</si>
  <si>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</si>
  <si>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</si>
  <si>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</si>
  <si>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</si>
  <si>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</si>
  <si>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</si>
  <si>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</si>
  <si>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</si>
  <si>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</si>
  <si>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</si>
  <si>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</si>
  <si>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</si>
  <si>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</si>
  <si>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</si>
  <si>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</si>
  <si>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</si>
  <si>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</si>
  <si>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</si>
  <si>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</si>
  <si>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</si>
  <si>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</si>
  <si>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</si>
  <si>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</si>
  <si>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</si>
  <si>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</si>
  <si>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</si>
  <si>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</si>
  <si>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</si>
  <si>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</si>
  <si>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</si>
  <si>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</si>
  <si>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</si>
  <si>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</si>
  <si>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</si>
  <si>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</si>
  <si>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</si>
  <si>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</si>
  <si>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</si>
  <si>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</si>
  <si>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</si>
  <si>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</si>
  <si>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</si>
  <si>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</si>
  <si>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</si>
  <si>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</si>
  <si>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</si>
  <si>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</si>
  <si>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</si>
  <si>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</si>
  <si>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</si>
  <si>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</si>
  <si>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</si>
  <si>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</si>
  <si>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</si>
  <si>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</si>
  <si>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</si>
  <si>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</si>
  <si>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</si>
  <si>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</si>
  <si>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</si>
  <si>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</si>
  <si>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</si>
  <si>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</si>
  <si>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</si>
  <si>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</si>
  <si>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</si>
  <si>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</si>
  <si>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</si>
  <si>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</si>
  <si>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</si>
  <si>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</si>
  <si>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</si>
  <si>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</si>
  <si>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</si>
  <si>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</si>
  <si>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</si>
  <si>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</si>
  <si>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</si>
  <si>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</si>
  <si>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</si>
  <si>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</si>
  <si>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</si>
  <si>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</si>
  <si>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</si>
  <si>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</si>
  <si>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</si>
  <si>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</si>
  <si>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</si>
  <si>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</si>
  <si>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</si>
  <si>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</si>
  <si>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</si>
  <si>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</si>
  <si>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</si>
  <si>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</si>
  <si>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</si>
  <si>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</si>
  <si>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</si>
  <si>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</si>
  <si>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</si>
  <si>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</si>
  <si>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</si>
  <si>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</si>
  <si>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</si>
  <si>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</si>
  <si>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</si>
  <si>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</si>
  <si>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</si>
  <si>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</si>
  <si>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</si>
  <si>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</si>
  <si>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</si>
  <si>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</si>
  <si>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</si>
  <si>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</si>
  <si>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</si>
  <si>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</si>
  <si>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</si>
  <si>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</si>
  <si>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</si>
  <si>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</si>
  <si>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</si>
  <si>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</si>
  <si>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</si>
  <si>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</si>
  <si>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</si>
  <si>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</si>
  <si>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</si>
  <si>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</si>
  <si>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</si>
  <si>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</si>
  <si>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</si>
  <si>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</si>
  <si>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</si>
  <si>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</si>
  <si>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</si>
  <si>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</si>
  <si>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</si>
  <si>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</si>
  <si>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</si>
  <si>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</si>
  <si>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</si>
  <si>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</si>
  <si>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</si>
  <si>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</si>
  <si>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</si>
  <si>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</si>
  <si>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</si>
  <si>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</si>
  <si>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</si>
  <si>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</si>
  <si>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</si>
  <si>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</si>
  <si>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</si>
  <si>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</si>
  <si>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</si>
  <si>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</si>
  <si>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</si>
  <si>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</si>
  <si>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</si>
  <si>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</si>
  <si>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</si>
  <si>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</si>
  <si>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</si>
  <si>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</si>
  <si>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</si>
  <si>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</si>
  <si>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</si>
  <si>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</si>
  <si>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</si>
  <si>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</si>
  <si>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</si>
  <si>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</si>
  <si>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</si>
  <si>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</si>
  <si>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</si>
  <si>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</si>
  <si>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</si>
  <si>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</si>
  <si>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</si>
  <si>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</si>
  <si>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</si>
  <si>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</si>
  <si>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</si>
  <si>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</si>
  <si>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</si>
  <si>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</si>
  <si>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</si>
  <si>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</si>
  <si>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</si>
  <si>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</si>
  <si>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</si>
  <si>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</si>
  <si>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</si>
  <si>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</si>
  <si>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</si>
  <si>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</si>
  <si>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</si>
  <si>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</si>
  <si>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</si>
  <si>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</si>
  <si>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</si>
  <si>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</si>
  <si>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</si>
  <si>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</si>
  <si>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</si>
  <si>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</si>
  <si>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</si>
  <si>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</si>
  <si>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</si>
  <si>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</si>
  <si>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</si>
  <si>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</si>
  <si>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</si>
  <si>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</si>
  <si>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</si>
  <si>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</si>
  <si>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</si>
  <si>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</si>
  <si>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</si>
  <si>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</si>
  <si>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</si>
  <si>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</si>
  <si>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</si>
  <si>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</si>
  <si>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</si>
  <si>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</si>
  <si>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</si>
  <si>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</si>
  <si>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</si>
  <si>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</si>
  <si>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</si>
  <si>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</si>
  <si>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</si>
  <si>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</si>
  <si>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</si>
  <si>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</si>
  <si>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</si>
  <si>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</si>
  <si>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</si>
  <si>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</si>
  <si>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</si>
  <si>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</si>
  <si>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</si>
  <si>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</si>
  <si>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</si>
  <si>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</si>
  <si>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</si>
  <si>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</si>
  <si>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</si>
  <si>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</si>
  <si>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</si>
  <si>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</si>
  <si>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</si>
  <si>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</si>
  <si>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</si>
  <si>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</si>
  <si>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</si>
  <si>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</si>
  <si>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</si>
  <si>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</si>
  <si>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</si>
  <si>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</si>
  <si>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</si>
  <si>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</si>
  <si>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</si>
  <si>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</si>
  <si>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</si>
  <si>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</si>
  <si>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</si>
  <si>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</si>
  <si>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</si>
  <si>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</si>
  <si>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</si>
  <si>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</si>
  <si>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</si>
  <si>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</si>
  <si>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</si>
  <si>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</si>
  <si>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</si>
  <si>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</si>
  <si>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</si>
  <si>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</si>
  <si>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</si>
  <si>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</si>
  <si>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</si>
  <si>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</si>
  <si>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</si>
  <si>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</si>
  <si>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</si>
  <si>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</si>
  <si>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</si>
  <si>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</si>
  <si>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</si>
  <si>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</si>
  <si>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</si>
  <si>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</si>
  <si>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</si>
  <si>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</si>
  <si>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</si>
  <si>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</si>
  <si>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</si>
  <si>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</si>
  <si>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</si>
  <si>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</si>
  <si>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</si>
  <si>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</si>
  <si>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</si>
  <si>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</si>
  <si>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</si>
  <si>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</si>
  <si>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</si>
  <si>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</si>
  <si>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</si>
  <si>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</si>
  <si>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</si>
  <si>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</si>
  <si>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</si>
  <si>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</si>
  <si>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</si>
  <si>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</si>
  <si>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</si>
  <si>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</si>
  <si>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</si>
  <si>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</si>
  <si>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</si>
  <si>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</si>
  <si>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</si>
  <si>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</si>
  <si>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</si>
  <si>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</si>
  <si>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</si>
  <si>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</si>
  <si>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</si>
  <si>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</si>
  <si>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</si>
  <si>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</si>
  <si>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</si>
  <si>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</si>
  <si>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</si>
  <si>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</si>
  <si>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</si>
  <si>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</si>
  <si>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</si>
  <si>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</si>
  <si>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</si>
  <si>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</si>
  <si>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</si>
  <si>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</si>
  <si>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</si>
  <si>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</si>
  <si>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</si>
  <si>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</si>
  <si>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</si>
  <si>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</si>
  <si>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</si>
  <si>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</si>
  <si>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</si>
  <si>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</si>
  <si>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</si>
  <si>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</si>
  <si>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</si>
  <si>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</si>
  <si>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</si>
  <si>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</si>
  <si>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</si>
  <si>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</si>
  <si>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</si>
  <si>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</si>
  <si>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</si>
  <si>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</si>
  <si>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</si>
  <si>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</si>
  <si>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</si>
  <si>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</si>
  <si>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</si>
  <si>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</si>
  <si>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</si>
  <si>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</si>
  <si>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</si>
  <si>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</si>
  <si>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</si>
  <si>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</si>
  <si>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</si>
  <si>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</si>
  <si>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</si>
  <si>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</si>
  <si>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</si>
  <si>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</si>
  <si>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</si>
  <si>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</si>
  <si>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</si>
  <si>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</si>
  <si>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</si>
  <si>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</si>
  <si>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</si>
  <si>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</si>
  <si>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</si>
  <si>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</si>
  <si>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</si>
  <si>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</si>
  <si>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</si>
  <si>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</si>
  <si>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</si>
  <si>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</si>
  <si>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</si>
  <si>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</si>
  <si>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</si>
  <si>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</si>
  <si>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</si>
  <si>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</si>
  <si>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</si>
  <si>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</si>
  <si>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</si>
  <si>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</si>
  <si>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</si>
  <si>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</si>
  <si>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</si>
  <si>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</si>
  <si>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</si>
  <si>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</si>
  <si>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</si>
  <si>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</si>
  <si>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</si>
  <si>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</si>
  <si>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</si>
  <si>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</si>
  <si>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</si>
  <si>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</si>
  <si>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</si>
  <si>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</si>
  <si>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</si>
  <si>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</si>
  <si>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</si>
  <si>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</si>
  <si>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</si>
  <si>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</si>
  <si>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</si>
  <si>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</si>
  <si>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</si>
  <si>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</si>
  <si>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</si>
  <si>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</si>
  <si>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</si>
  <si>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</si>
  <si>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</si>
  <si>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</si>
  <si>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</si>
  <si>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</si>
  <si>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</si>
  <si>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</si>
  <si>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</si>
  <si>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</si>
  <si>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</si>
  <si>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</si>
  <si>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</si>
  <si>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</si>
  <si>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</si>
  <si>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</si>
  <si>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</si>
  <si>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</si>
  <si>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</si>
  <si>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</si>
  <si>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</si>
  <si>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</si>
  <si>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</si>
  <si>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</si>
  <si>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</si>
  <si>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</si>
  <si>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</si>
  <si>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</si>
  <si>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</si>
  <si>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</si>
  <si>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</si>
  <si>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</si>
  <si>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</si>
  <si>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</si>
  <si>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</si>
  <si>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</si>
  <si>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</si>
  <si>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</si>
  <si>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</si>
  <si>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</si>
  <si>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</si>
  <si>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</si>
  <si>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</si>
  <si>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</si>
  <si>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</si>
  <si>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</si>
  <si>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</si>
  <si>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</si>
  <si>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</si>
  <si>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</si>
  <si>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</si>
  <si>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</si>
  <si>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</si>
  <si>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</si>
  <si>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</si>
  <si>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</si>
  <si>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</si>
  <si>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</si>
  <si>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</si>
  <si>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</si>
  <si>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</si>
  <si>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</si>
  <si>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</si>
  <si>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</si>
  <si>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</si>
  <si>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</si>
  <si>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</si>
  <si>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</si>
  <si>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</si>
  <si>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</si>
  <si>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</si>
  <si>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</si>
  <si>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</si>
  <si>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</si>
  <si>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</si>
  <si>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</si>
  <si>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</si>
  <si>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</si>
  <si>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</si>
  <si>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</si>
  <si>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</si>
  <si>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</si>
  <si>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</si>
  <si>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</si>
  <si>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</si>
  <si>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</si>
  <si>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</si>
  <si>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</si>
  <si>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</si>
  <si>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</si>
  <si>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</si>
  <si>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</si>
  <si>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</si>
  <si>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</si>
  <si>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</si>
  <si>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</si>
  <si>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</si>
  <si>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</si>
  <si>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</si>
  <si>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</si>
  <si>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</si>
  <si>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</si>
  <si>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</si>
  <si>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</si>
  <si>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</si>
  <si>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</si>
  <si>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</si>
  <si>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</si>
  <si>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</si>
  <si>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</si>
  <si>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</si>
  <si>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</si>
  <si>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</si>
  <si>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</si>
  <si>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</si>
  <si>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</si>
  <si>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</si>
  <si>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</si>
  <si>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</si>
  <si>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</si>
  <si>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</si>
  <si>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</si>
  <si>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</si>
  <si>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</si>
  <si>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</si>
  <si>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</si>
  <si>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</si>
  <si>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</si>
  <si>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</si>
  <si>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</si>
  <si>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</si>
  <si>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</si>
  <si>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</si>
  <si>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</si>
  <si>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</si>
  <si>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</si>
  <si>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</si>
  <si>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</si>
  <si>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</si>
  <si>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</si>
  <si>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</si>
  <si>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</si>
  <si>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</si>
  <si>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</si>
  <si>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</si>
  <si>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</si>
  <si>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</si>
  <si>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</si>
  <si>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</si>
  <si>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</si>
  <si>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</si>
  <si>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</si>
  <si>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</si>
  <si>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</si>
  <si>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</si>
  <si>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</si>
  <si>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</si>
  <si>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</si>
  <si>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</si>
  <si>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</si>
  <si>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</si>
  <si>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</si>
  <si>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</si>
  <si>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</si>
  <si>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</si>
  <si>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</si>
  <si>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</si>
  <si>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</si>
  <si>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</si>
  <si>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</si>
  <si>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</si>
  <si>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</si>
  <si>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</si>
  <si>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</si>
  <si>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</si>
  <si>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</si>
  <si>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</si>
  <si>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</si>
  <si>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</si>
  <si>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</si>
  <si>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</si>
  <si>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</si>
  <si>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</si>
  <si>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</si>
  <si>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</si>
  <si>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</si>
  <si>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</si>
  <si>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</si>
  <si>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</si>
  <si>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</si>
  <si>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</si>
  <si>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</si>
  <si>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</si>
  <si>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</si>
  <si>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</si>
  <si>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</si>
  <si>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</si>
  <si>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</si>
  <si>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</si>
  <si>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</si>
  <si>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</si>
  <si>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</si>
  <si>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</si>
  <si>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</si>
  <si>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</si>
  <si>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</si>
  <si>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</si>
  <si>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</si>
  <si>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</si>
  <si>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</si>
  <si>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</si>
  <si>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</si>
  <si>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</si>
  <si>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</si>
  <si>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</si>
  <si>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</si>
  <si>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</si>
  <si>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</si>
  <si>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</si>
  <si>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</si>
  <si>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</si>
  <si>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</si>
  <si>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</si>
  <si>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</si>
  <si>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</si>
  <si>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</si>
  <si>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</si>
  <si>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</si>
  <si>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</si>
  <si>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</si>
  <si>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</si>
  <si>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</si>
  <si>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</si>
  <si>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</si>
  <si>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</si>
  <si>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</si>
  <si>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</si>
  <si>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</si>
  <si>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</si>
  <si>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</si>
  <si>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</si>
  <si>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</si>
  <si>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</si>
  <si>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</si>
  <si>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</si>
  <si>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</si>
  <si>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</si>
  <si>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</si>
  <si>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</si>
  <si>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</si>
  <si>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</si>
  <si>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</si>
  <si>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</si>
  <si>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</si>
  <si>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</si>
  <si>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</si>
  <si>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</si>
  <si>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</si>
  <si>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</si>
  <si>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</si>
  <si>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</si>
  <si>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</si>
  <si>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</si>
  <si>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</si>
  <si>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</si>
  <si>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</si>
  <si>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</si>
  <si>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</si>
  <si>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</si>
  <si>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</si>
  <si>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</si>
  <si>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</si>
  <si>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</si>
  <si>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</si>
  <si>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</si>
  <si>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</si>
  <si>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</si>
  <si>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</si>
  <si>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</si>
  <si>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</si>
  <si>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</si>
  <si>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</si>
  <si>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</si>
  <si>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</si>
  <si>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</si>
  <si>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</si>
  <si>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</si>
  <si>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</si>
  <si>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</si>
  <si>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</si>
  <si>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</si>
  <si>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</si>
  <si>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</si>
  <si>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</si>
  <si>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</si>
  <si>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</si>
  <si>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</si>
  <si>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</si>
  <si>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</si>
  <si>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</si>
  <si>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</si>
  <si>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</si>
  <si>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</si>
  <si>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</si>
  <si>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</si>
  <si>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</si>
  <si>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</si>
  <si>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</si>
  <si>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</si>
  <si>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</si>
  <si>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</si>
  <si>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</si>
  <si>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</si>
  <si>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</si>
  <si>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</si>
  <si>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</si>
  <si>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</si>
  <si>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</si>
  <si>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</si>
  <si>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</si>
  <si>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</si>
  <si>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</si>
  <si>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</si>
  <si>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</si>
  <si>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</si>
  <si>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</si>
  <si>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</si>
  <si>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</si>
  <si>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</si>
  <si>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</si>
  <si>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</si>
  <si>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</si>
  <si>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</si>
  <si>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</si>
  <si>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</si>
  <si>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</si>
  <si>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</si>
  <si>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</si>
  <si>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</si>
  <si>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</si>
  <si>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</si>
  <si>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</si>
  <si>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</si>
  <si>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</si>
  <si>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</si>
  <si>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</si>
  <si>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</si>
  <si>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</si>
  <si>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</si>
  <si>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</si>
  <si>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</si>
  <si>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</si>
  <si>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</si>
  <si>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</si>
  <si>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</si>
  <si>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</si>
  <si>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</si>
  <si>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</si>
  <si>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</si>
  <si>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</si>
  <si>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</si>
  <si>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</si>
  <si>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</si>
  <si>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</si>
  <si>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</si>
  <si>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</si>
  <si>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</si>
  <si>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</si>
  <si>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</si>
  <si>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</si>
  <si>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</si>
  <si>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</si>
  <si>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</si>
  <si>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</si>
  <si>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</si>
  <si>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</si>
  <si>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</si>
  <si>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</si>
  <si>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</si>
  <si>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</si>
  <si>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</si>
  <si>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</si>
  <si>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</si>
  <si>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</si>
  <si>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</si>
  <si>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</si>
  <si>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</si>
  <si>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</si>
  <si>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</si>
  <si>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</si>
  <si>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</si>
  <si>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</si>
  <si>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</si>
  <si>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</si>
  <si>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</si>
  <si>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</si>
  <si>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</si>
  <si>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</si>
  <si>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</si>
  <si>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</si>
  <si>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</si>
  <si>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</si>
  <si>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</si>
  <si>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</si>
  <si>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</si>
  <si>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</si>
  <si>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</si>
  <si>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</si>
  <si>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</si>
  <si>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</si>
  <si>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</si>
  <si>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</si>
  <si>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</si>
  <si>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</si>
  <si>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</si>
  <si>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</si>
  <si>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</si>
  <si>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</si>
  <si>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</si>
  <si>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</si>
  <si>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</si>
  <si>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</si>
  <si>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</si>
  <si>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</si>
  <si>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</si>
  <si>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</si>
  <si>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</si>
  <si>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</si>
  <si>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</si>
  <si>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</si>
  <si>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</si>
  <si>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</si>
  <si>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</si>
  <si>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</si>
  <si>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</si>
  <si>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</si>
  <si>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</si>
  <si>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</si>
  <si>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</si>
  <si>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</si>
  <si>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</si>
  <si>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</si>
  <si>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</si>
  <si>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</si>
  <si>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</si>
  <si>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</si>
  <si>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</si>
  <si>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</si>
  <si>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</si>
  <si>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</si>
  <si>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</si>
  <si>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</si>
  <si>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</si>
  <si>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</si>
  <si>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</si>
  <si>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</si>
  <si>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</si>
  <si>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</si>
  <si>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</si>
  <si>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</si>
  <si>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</si>
  <si>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</si>
  <si>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</si>
  <si>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</si>
  <si>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</si>
  <si>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</si>
  <si>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</si>
  <si>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</si>
  <si>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</si>
  <si>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</si>
  <si>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</si>
  <si>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</si>
  <si>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</si>
  <si>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</si>
  <si>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</si>
  <si>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</si>
  <si>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</si>
  <si>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</si>
  <si>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</si>
  <si>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</si>
  <si>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</si>
  <si>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</si>
  <si>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</si>
  <si>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</si>
  <si>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</si>
  <si>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</si>
  <si>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</si>
  <si>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</si>
  <si>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</si>
  <si>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</si>
  <si>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</si>
  <si>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</si>
  <si>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</si>
  <si>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</si>
  <si>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</si>
  <si>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</si>
  <si>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</si>
  <si>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</si>
  <si>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</si>
  <si>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</si>
  <si>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</si>
  <si>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</si>
  <si>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</si>
  <si>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</si>
  <si>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</si>
  <si>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</si>
  <si>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</si>
  <si>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</si>
  <si>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</si>
  <si>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</si>
  <si>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</si>
  <si>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</si>
  <si>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</si>
  <si>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</si>
  <si>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</si>
  <si>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</si>
  <si>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</si>
  <si>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</si>
  <si>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</si>
  <si>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</si>
  <si>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</si>
  <si>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</si>
  <si>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</si>
  <si>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</si>
  <si>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</si>
  <si>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</si>
  <si>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</si>
  <si>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</si>
  <si>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</si>
  <si>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</si>
  <si>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</si>
  <si>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</si>
  <si>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</si>
  <si>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</si>
  <si>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</si>
  <si>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</si>
  <si>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</si>
  <si>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</si>
  <si>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</si>
  <si>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</si>
  <si>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</si>
  <si>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</si>
  <si>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</si>
  <si>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</si>
  <si>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</si>
  <si>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</si>
  <si>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</si>
  <si>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</si>
  <si>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</si>
  <si>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</si>
  <si>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</si>
  <si>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</si>
  <si>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</si>
  <si>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</si>
  <si>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</si>
  <si>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</si>
  <si>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</si>
  <si>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</si>
  <si>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</si>
  <si>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</si>
  <si>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</si>
  <si>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</si>
  <si>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</si>
  <si>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</si>
  <si>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</si>
  <si>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</si>
  <si>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</si>
  <si>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</si>
  <si>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</si>
  <si>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</si>
  <si>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</si>
  <si>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</si>
  <si>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</si>
  <si>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</si>
  <si>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</si>
  <si>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</si>
  <si>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</si>
  <si>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</si>
  <si>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</si>
  <si>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</si>
  <si>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</si>
  <si>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</si>
  <si>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</si>
  <si>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</si>
  <si>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</si>
  <si>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</si>
  <si>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</si>
  <si>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</si>
  <si>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</si>
  <si>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</si>
  <si>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</si>
  <si>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</si>
  <si>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</si>
  <si>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</si>
  <si>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</si>
  <si>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</si>
  <si>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</si>
  <si>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</si>
  <si>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</si>
  <si>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</si>
  <si>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</si>
  <si>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</si>
  <si>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</si>
  <si>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</si>
  <si>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</si>
  <si>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</si>
  <si>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</si>
  <si>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</si>
  <si>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</si>
  <si>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</si>
  <si>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</si>
  <si>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</si>
  <si>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</si>
  <si>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</si>
  <si>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</si>
  <si>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</si>
  <si>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</si>
  <si>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</si>
  <si>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</si>
  <si>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</si>
  <si>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</si>
  <si>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</si>
  <si>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</si>
  <si>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</si>
  <si>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</si>
  <si>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</si>
  <si>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</si>
  <si>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</si>
  <si>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</si>
  <si>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</si>
  <si>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</si>
  <si>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</si>
  <si>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</si>
  <si>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</si>
  <si>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</si>
  <si>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</si>
  <si>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</si>
  <si>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</si>
  <si>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</si>
  <si>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</si>
  <si>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</si>
  <si>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</si>
  <si>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</si>
  <si>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</si>
  <si>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</si>
  <si>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</si>
  <si>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</si>
  <si>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</si>
  <si>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</si>
  <si>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</si>
  <si>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</si>
  <si>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</si>
  <si>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</si>
  <si>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</si>
  <si>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</si>
  <si>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</si>
  <si>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</si>
  <si>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</si>
  <si>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</si>
  <si>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</si>
  <si>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</si>
  <si>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</si>
  <si>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</si>
  <si>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</si>
  <si>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</si>
  <si>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</si>
  <si>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</si>
  <si>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</si>
  <si>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</si>
  <si>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</si>
  <si>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</si>
  <si>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</si>
  <si>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</si>
  <si>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</si>
  <si>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</si>
  <si>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</si>
  <si>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</si>
  <si>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</si>
  <si>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</si>
  <si>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</si>
  <si>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</si>
  <si>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</si>
  <si>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</si>
  <si>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</si>
  <si>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</si>
  <si>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</si>
  <si>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</si>
  <si>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</si>
  <si>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</si>
  <si>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</si>
  <si>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</si>
  <si>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</si>
  <si>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</si>
  <si>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</si>
  <si>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</si>
  <si>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</si>
  <si>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</si>
  <si>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</si>
  <si>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</si>
  <si>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</si>
  <si>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</si>
  <si>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</si>
  <si>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</si>
  <si>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</si>
  <si>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</si>
  <si>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</si>
  <si>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</si>
  <si>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</si>
  <si>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</si>
  <si>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</si>
  <si>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</si>
  <si>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</si>
  <si>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</si>
  <si>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</si>
  <si>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</si>
  <si>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</si>
  <si>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</si>
  <si>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</si>
  <si>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</si>
  <si>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</si>
  <si>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</si>
  <si>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</si>
  <si>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</si>
  <si>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</si>
  <si>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</si>
  <si>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</si>
  <si>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</si>
  <si>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</si>
  <si>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</si>
  <si>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</si>
  <si>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</si>
  <si>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</si>
  <si>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</si>
  <si>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</si>
  <si>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</si>
  <si>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</si>
  <si>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</si>
  <si>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</si>
  <si>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</si>
  <si>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</si>
  <si>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</si>
  <si>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</si>
  <si>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</si>
  <si>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</si>
  <si>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</si>
  <si>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</si>
  <si>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</si>
  <si>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</si>
  <si>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</si>
  <si>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</si>
  <si>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</si>
  <si>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</si>
  <si>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</si>
  <si>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</si>
  <si>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</si>
  <si>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</si>
  <si>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</si>
  <si>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</si>
  <si>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</si>
  <si>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</si>
  <si>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</si>
  <si>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</si>
  <si>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</si>
  <si>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</si>
  <si>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</si>
  <si>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</si>
  <si>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</si>
  <si>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</si>
  <si>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</si>
  <si>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</si>
  <si>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</si>
  <si>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</si>
  <si>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</si>
  <si>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</si>
  <si>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</si>
  <si>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</si>
  <si>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</si>
  <si>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</si>
  <si>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</si>
  <si>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</si>
  <si>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</si>
  <si>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</si>
  <si>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</si>
  <si>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</si>
  <si>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</si>
  <si>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</si>
  <si>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</si>
  <si>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</si>
  <si>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</si>
  <si>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</si>
  <si>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</si>
  <si>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</si>
  <si>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</si>
  <si>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</si>
  <si>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</si>
  <si>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</si>
  <si>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</si>
  <si>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</si>
  <si>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</si>
  <si>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</si>
  <si>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</si>
  <si>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</si>
  <si>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</si>
  <si>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</si>
  <si>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</si>
  <si>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</si>
  <si>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</si>
  <si>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</si>
  <si>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</si>
  <si>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</si>
  <si>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</si>
  <si>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</si>
  <si>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</si>
  <si>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</si>
  <si>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</si>
  <si>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</si>
  <si>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</si>
  <si>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</si>
  <si>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</si>
  <si>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</si>
  <si>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</si>
  <si>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</si>
  <si>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</si>
  <si>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</si>
  <si>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</si>
  <si>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</si>
  <si>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</si>
  <si>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</si>
  <si>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</si>
  <si>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</si>
  <si>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</si>
  <si>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</si>
  <si>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</si>
  <si>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</si>
  <si>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</si>
  <si>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</si>
  <si>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</si>
  <si>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</si>
  <si>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</si>
  <si>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</si>
  <si>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</si>
  <si>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</si>
  <si>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</si>
  <si>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</si>
  <si>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</si>
  <si>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</si>
  <si>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</si>
  <si>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</si>
  <si>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</si>
  <si>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</si>
  <si>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</si>
  <si>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</si>
  <si>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</si>
  <si>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</si>
  <si>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</si>
  <si>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</si>
  <si>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</si>
  <si>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</si>
  <si>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</si>
  <si>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</si>
  <si>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</si>
  <si>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</si>
  <si>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</si>
  <si>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</si>
  <si>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</si>
  <si>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</si>
  <si>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</si>
  <si>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</si>
  <si>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</si>
  <si>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</si>
  <si>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</si>
  <si>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</si>
  <si>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</si>
  <si>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</si>
  <si>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</si>
  <si>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</si>
  <si>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</si>
  <si>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</si>
  <si>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</si>
  <si>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</si>
  <si>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</si>
  <si>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</si>
  <si>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</si>
  <si>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</si>
  <si>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</si>
  <si>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</si>
  <si>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</si>
  <si>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</si>
  <si>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</si>
  <si>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</si>
  <si>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</si>
  <si>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</si>
  <si>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</si>
  <si>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</si>
  <si>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</si>
  <si>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</si>
  <si>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</si>
  <si>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</si>
  <si>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</si>
  <si>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</si>
  <si>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</si>
  <si>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</si>
  <si>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</si>
  <si>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</si>
  <si>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</si>
  <si>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</si>
  <si>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</si>
  <si>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</si>
  <si>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</si>
  <si>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</si>
  <si>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</si>
  <si>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</si>
  <si>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</si>
  <si>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</si>
  <si>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</si>
  <si>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</si>
  <si>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</si>
  <si>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</si>
  <si>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</si>
  <si>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</si>
  <si>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</si>
  <si>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</si>
  <si>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</si>
  <si>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</si>
  <si>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</si>
  <si>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</si>
  <si>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</si>
  <si>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</si>
  <si>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</si>
  <si>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</si>
  <si>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</si>
  <si>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</si>
  <si>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</si>
  <si>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</si>
  <si>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</si>
  <si>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</si>
  <si>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</si>
  <si>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</si>
  <si>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</si>
  <si>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</si>
  <si>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</si>
  <si>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</si>
  <si>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</si>
  <si>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</si>
  <si>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</si>
  <si>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</si>
  <si>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</si>
  <si>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</si>
  <si>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</si>
  <si>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</si>
  <si>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</si>
  <si>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</si>
  <si>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</si>
  <si>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</si>
  <si>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</si>
  <si>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</si>
  <si>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</si>
  <si>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</si>
  <si>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</si>
  <si>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</si>
  <si>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</si>
  <si>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</si>
  <si>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</si>
  <si>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</si>
  <si>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</si>
  <si>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</si>
  <si>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</si>
  <si>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</si>
  <si>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</si>
  <si>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</si>
  <si>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</si>
  <si>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</si>
  <si>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</si>
  <si>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</si>
  <si>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</si>
  <si>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</si>
  <si>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</si>
  <si>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</si>
  <si>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</si>
  <si>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</si>
  <si>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</si>
  <si>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</si>
  <si>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</si>
  <si>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</si>
  <si>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</si>
  <si>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</si>
  <si>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</si>
  <si>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</si>
  <si>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</si>
  <si>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</si>
  <si>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</si>
  <si>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</si>
  <si>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</si>
  <si>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</si>
  <si>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</si>
  <si>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</si>
  <si>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</si>
  <si>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</si>
  <si>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</si>
  <si>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</si>
  <si>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</si>
  <si>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</si>
  <si>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</si>
  <si>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</si>
  <si>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</si>
  <si>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</si>
  <si>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</si>
  <si>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</si>
  <si>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</si>
  <si>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</si>
  <si>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</si>
  <si>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</si>
  <si>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</si>
  <si>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</si>
  <si>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</si>
  <si>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</si>
  <si>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</si>
  <si>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</si>
  <si>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</si>
  <si>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</si>
  <si>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</si>
  <si>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</si>
  <si>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</si>
  <si>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</si>
  <si>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</si>
  <si>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</si>
  <si>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</si>
  <si>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</si>
  <si>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</si>
  <si>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</si>
  <si>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</si>
  <si>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</si>
  <si>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</si>
  <si>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</si>
  <si>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</si>
  <si>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</si>
  <si>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</si>
  <si>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</si>
  <si>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</si>
  <si>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</si>
  <si>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</si>
  <si>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</si>
  <si>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</si>
  <si>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</si>
  <si>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</si>
  <si>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</si>
  <si>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</si>
  <si>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</si>
  <si>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</si>
  <si>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</si>
  <si>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</si>
  <si>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</si>
  <si>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</si>
  <si>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</si>
  <si>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</si>
  <si>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</si>
  <si>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</si>
  <si>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</si>
  <si>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</si>
  <si>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</si>
  <si>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</si>
  <si>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</si>
  <si>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</si>
  <si>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</si>
  <si>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</si>
  <si>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</si>
  <si>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</si>
  <si>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</si>
  <si>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</si>
  <si>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</si>
  <si>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</si>
  <si>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</si>
  <si>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</si>
  <si>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</si>
  <si>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</si>
  <si>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</si>
  <si>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</si>
  <si>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</si>
  <si>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</si>
  <si>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</si>
  <si>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</si>
  <si>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</si>
  <si>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</si>
  <si>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</si>
  <si>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</si>
  <si>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</si>
  <si>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</si>
  <si>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</si>
  <si>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</si>
  <si>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</si>
  <si>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</si>
  <si>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</si>
  <si>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</si>
  <si>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</si>
  <si>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</si>
  <si>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</si>
  <si>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</si>
  <si>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</si>
  <si>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</si>
  <si>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</si>
  <si>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</si>
  <si>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</si>
  <si>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</si>
  <si>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</si>
  <si>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</si>
  <si>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</si>
  <si>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</si>
  <si>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</si>
  <si>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</si>
  <si>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</si>
  <si>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</si>
  <si>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</si>
  <si>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</si>
  <si>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</si>
  <si>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</si>
  <si>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</si>
  <si>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</si>
  <si>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</si>
  <si>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</si>
  <si>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</si>
  <si>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</si>
  <si>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</si>
  <si>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</si>
  <si>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</si>
  <si>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</si>
  <si>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</si>
  <si>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</si>
  <si>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</si>
  <si>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</si>
  <si>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</si>
  <si>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</si>
  <si>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</si>
  <si>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</si>
  <si>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</si>
  <si>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</si>
  <si>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</si>
  <si>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</si>
  <si>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</si>
  <si>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</si>
  <si>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</si>
  <si>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</si>
  <si>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</si>
  <si>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</si>
  <si>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</si>
  <si>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</si>
  <si>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</si>
  <si>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</si>
  <si>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</si>
  <si>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</si>
  <si>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</si>
  <si>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</si>
  <si>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</si>
  <si>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</si>
  <si>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</si>
  <si>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</si>
  <si>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</si>
  <si>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</si>
  <si>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</si>
  <si>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</si>
  <si>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</si>
  <si>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</si>
  <si>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</si>
  <si>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</si>
  <si>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</si>
  <si>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</si>
  <si>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</si>
  <si>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</si>
  <si>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</si>
  <si>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</si>
  <si>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</si>
  <si>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</si>
  <si>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</si>
  <si>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</si>
  <si>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</si>
  <si>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</si>
  <si>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</si>
  <si>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</si>
  <si>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</si>
  <si>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</si>
  <si>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</si>
  <si>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</si>
  <si>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</si>
  <si>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</si>
  <si>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</si>
  <si>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</si>
  <si>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</si>
  <si>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</si>
  <si>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</si>
  <si>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</si>
  <si>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</si>
  <si>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</si>
  <si>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</si>
  <si>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</si>
  <si>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</si>
  <si>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</si>
  <si>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</si>
  <si>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</si>
  <si>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</si>
  <si>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</si>
  <si>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</si>
  <si>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</si>
  <si>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</si>
  <si>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</si>
  <si>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</si>
  <si>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</si>
  <si>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</si>
  <si>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</si>
  <si>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</si>
  <si>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</si>
  <si>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</si>
  <si>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</si>
  <si>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</si>
  <si>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</si>
  <si>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</si>
  <si>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</si>
  <si>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</si>
  <si>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</si>
  <si>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</si>
  <si>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</si>
  <si>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</si>
  <si>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</si>
  <si>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</si>
  <si>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</si>
  <si>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</si>
  <si>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</si>
  <si>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</si>
  <si>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</si>
  <si>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</si>
  <si>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</si>
  <si>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</si>
  <si>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</si>
  <si>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</si>
  <si>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</si>
  <si>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</si>
  <si>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</si>
  <si>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</si>
  <si>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</si>
  <si>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</si>
  <si>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</si>
  <si>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</si>
  <si>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</si>
  <si>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</si>
  <si>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</si>
  <si>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</si>
  <si>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</si>
  <si>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</si>
  <si>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</si>
  <si>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</si>
  <si>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</si>
  <si>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</si>
  <si>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</si>
  <si>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</si>
  <si>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</si>
  <si>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</si>
  <si>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</si>
  <si>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</si>
  <si>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</si>
  <si>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</si>
  <si>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</si>
  <si>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</si>
  <si>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</si>
  <si>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</si>
  <si>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</si>
  <si>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</si>
  <si>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</si>
  <si>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</si>
  <si>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</si>
  <si>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</si>
  <si>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</si>
  <si>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</si>
  <si>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</si>
  <si>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</si>
  <si>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</si>
  <si>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</si>
  <si>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</si>
  <si>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</si>
  <si>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</si>
  <si>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</si>
  <si>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</si>
  <si>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</si>
  <si>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</si>
  <si>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</si>
  <si>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</si>
  <si>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</si>
  <si>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</si>
  <si>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</si>
  <si>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</si>
  <si>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</si>
  <si>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</si>
  <si>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</si>
  <si>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</si>
  <si>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</si>
  <si>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</si>
  <si>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</si>
  <si>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</si>
  <si>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</si>
  <si>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</si>
  <si>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</si>
  <si>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</si>
  <si>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</si>
  <si>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</si>
  <si>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</si>
  <si>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</si>
  <si>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</si>
  <si>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</si>
  <si>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</si>
  <si>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</si>
  <si>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</si>
  <si>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</si>
  <si>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</si>
  <si>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</si>
  <si>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</si>
  <si>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</si>
  <si>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</si>
  <si>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</si>
  <si>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</si>
  <si>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</si>
  <si>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</si>
  <si>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</si>
  <si>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</si>
  <si>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</si>
  <si>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</si>
  <si>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</si>
  <si>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</si>
  <si>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</si>
  <si>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</si>
  <si>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</si>
  <si>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</si>
  <si>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</si>
  <si>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</si>
  <si>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</si>
  <si>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</si>
  <si>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</si>
  <si>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</si>
  <si>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</si>
  <si>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</si>
  <si>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</si>
  <si>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</si>
  <si>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</si>
  <si>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</si>
  <si>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</si>
  <si>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</si>
  <si>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</si>
  <si>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</si>
  <si>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</si>
  <si>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</si>
  <si>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</si>
  <si>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</si>
  <si>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</si>
  <si>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</si>
  <si>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</si>
  <si>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</si>
  <si>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</si>
  <si>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</si>
  <si>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</si>
  <si>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</si>
  <si>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</si>
  <si>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</si>
  <si>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</si>
  <si>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</si>
  <si>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</si>
  <si>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</si>
  <si>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</si>
  <si>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</si>
  <si>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</si>
  <si>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</si>
  <si>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</si>
  <si>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</si>
  <si>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</si>
  <si>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</si>
  <si>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</si>
  <si>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</si>
  <si>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</si>
  <si>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</si>
  <si>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</si>
  <si>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</si>
  <si>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</si>
  <si>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</si>
  <si>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</si>
  <si>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</si>
  <si>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</si>
  <si>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</si>
  <si>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</si>
  <si>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</si>
  <si>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</si>
  <si>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</si>
  <si>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</si>
  <si>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</si>
  <si>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</si>
  <si>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</si>
  <si>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</si>
  <si>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</si>
  <si>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</si>
  <si>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</si>
  <si>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</si>
  <si>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</si>
  <si>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</si>
  <si>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</si>
  <si>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</si>
  <si>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</si>
  <si>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</si>
  <si>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</si>
  <si>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</si>
  <si>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</si>
  <si>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</si>
  <si>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</si>
  <si>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</si>
  <si>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</si>
  <si>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</si>
  <si>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</si>
  <si>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</si>
  <si>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</si>
  <si>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</si>
  <si>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</si>
  <si>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</si>
  <si>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</si>
  <si>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</si>
  <si>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</si>
  <si>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</si>
  <si>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</si>
  <si>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</si>
  <si>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</si>
  <si>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</si>
  <si>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</si>
  <si>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</si>
  <si>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</si>
  <si>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</si>
  <si>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</si>
  <si>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</si>
  <si>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</si>
  <si>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</si>
  <si>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</si>
  <si>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</si>
  <si>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</si>
  <si>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</si>
  <si>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</si>
  <si>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</si>
  <si>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</si>
  <si>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</si>
  <si>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</si>
  <si>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</si>
  <si>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</si>
  <si>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</si>
  <si>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</si>
  <si>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</si>
  <si>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</si>
  <si>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</si>
  <si>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</si>
  <si>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</si>
  <si>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</si>
  <si>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</si>
  <si>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</si>
  <si>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</si>
  <si>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</si>
  <si>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</si>
  <si>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</si>
  <si>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</si>
  <si>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</si>
  <si>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</si>
  <si>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</si>
  <si>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</si>
  <si>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</si>
  <si>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</si>
  <si>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</si>
  <si>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</si>
  <si>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</si>
  <si>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</si>
  <si>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</si>
  <si>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</si>
  <si>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</si>
  <si>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</si>
  <si>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</si>
  <si>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</si>
  <si>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</si>
  <si>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</si>
  <si>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</si>
  <si>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</si>
  <si>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</si>
  <si>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</si>
  <si>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</si>
  <si>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</si>
  <si>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</si>
  <si>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</si>
  <si>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</si>
  <si>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</si>
  <si>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</si>
  <si>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</si>
  <si>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</si>
  <si>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</si>
  <si>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</si>
  <si>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</si>
  <si>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</si>
  <si>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</si>
  <si>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</si>
  <si>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</si>
  <si>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</si>
  <si>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</si>
  <si>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</si>
  <si>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</si>
  <si>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</si>
  <si>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</si>
  <si>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</si>
  <si>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</si>
  <si>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</si>
  <si>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</si>
  <si>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</si>
  <si>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</si>
  <si>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</si>
  <si>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</si>
  <si>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</si>
  <si>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</si>
  <si>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</si>
  <si>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</si>
  <si>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</si>
  <si>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</si>
  <si>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</si>
  <si>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</si>
  <si>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</si>
  <si>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</si>
  <si>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</si>
  <si>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</si>
  <si>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</si>
  <si>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</si>
  <si>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</si>
  <si>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</si>
  <si>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</si>
  <si>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</si>
  <si>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</si>
  <si>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</si>
  <si>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</si>
  <si>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</si>
  <si>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</si>
  <si>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</si>
  <si>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</si>
  <si>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</si>
  <si>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</si>
  <si>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</si>
  <si>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</si>
  <si>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</si>
  <si>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</si>
  <si>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</si>
  <si>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</si>
  <si>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</si>
  <si>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</si>
  <si>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</si>
  <si>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</si>
  <si>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</si>
  <si>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</si>
  <si>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</si>
  <si>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</si>
  <si>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</si>
  <si>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</si>
  <si>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</si>
  <si>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</si>
  <si>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</si>
  <si>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</si>
  <si>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</si>
  <si>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</si>
  <si>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</si>
  <si>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</si>
  <si>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</si>
  <si>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</si>
  <si>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</si>
  <si>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</si>
  <si>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</si>
  <si>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</si>
  <si>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</si>
  <si>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</si>
  <si>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</si>
  <si>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</si>
  <si>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</si>
  <si>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</si>
  <si>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</si>
  <si>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</si>
  <si>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</si>
  <si>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</si>
  <si>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</si>
  <si>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</si>
  <si>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</si>
  <si>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</si>
  <si>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</si>
  <si>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</si>
  <si>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</si>
  <si>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</si>
  <si>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</si>
  <si>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</si>
  <si>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</si>
  <si>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</si>
  <si>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</si>
  <si>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</si>
  <si>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</si>
  <si>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</si>
  <si>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</si>
  <si>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</si>
  <si>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</si>
  <si>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</si>
  <si>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</si>
  <si>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</si>
  <si>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</si>
  <si>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</si>
  <si>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</si>
  <si>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</si>
  <si>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</si>
  <si>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</si>
  <si>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</si>
  <si>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</si>
  <si>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</si>
  <si>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</si>
  <si>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</si>
  <si>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</si>
  <si>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</si>
  <si>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</si>
  <si>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</si>
  <si>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</si>
  <si>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</si>
  <si>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</si>
  <si>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</si>
  <si>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</si>
  <si>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</si>
  <si>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</si>
  <si>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</si>
  <si>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</si>
  <si>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</si>
  <si>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</si>
  <si>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</si>
  <si>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</si>
  <si>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</si>
  <si>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</si>
  <si>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</si>
  <si>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</si>
  <si>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</si>
  <si>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</si>
  <si>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</si>
  <si>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</si>
  <si>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</si>
  <si>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</si>
  <si>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</si>
  <si>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</si>
  <si>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</si>
  <si>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</si>
  <si>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</si>
  <si>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</si>
  <si>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</si>
  <si>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</si>
  <si>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</si>
  <si>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</si>
  <si>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</si>
  <si>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</si>
  <si>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</si>
  <si>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</si>
  <si>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</si>
  <si>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</si>
  <si>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</si>
  <si>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</si>
  <si>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</si>
  <si>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</si>
  <si>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</si>
  <si>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</si>
  <si>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</si>
  <si>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</si>
  <si>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</si>
  <si>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</si>
  <si>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</si>
  <si>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</si>
  <si>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</si>
  <si>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</si>
  <si>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</si>
  <si>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</si>
  <si>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</si>
  <si>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</si>
  <si>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</si>
  <si>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</si>
  <si>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</si>
  <si>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</si>
  <si>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</si>
  <si>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</si>
  <si>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</si>
  <si>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</si>
  <si>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</si>
  <si>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</si>
  <si>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</si>
  <si>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</si>
  <si>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</si>
  <si>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</si>
  <si>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</si>
  <si>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</si>
  <si>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</si>
  <si>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</si>
  <si>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</si>
  <si>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</si>
  <si>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</si>
  <si>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</si>
  <si>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</si>
  <si>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</si>
  <si>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</si>
  <si>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</si>
  <si>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</si>
  <si>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</si>
  <si>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</si>
  <si>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</si>
  <si>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</si>
  <si>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</si>
  <si>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</si>
  <si>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</si>
  <si>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</si>
  <si>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</si>
  <si>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</si>
  <si>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</si>
  <si>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</si>
  <si>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</si>
  <si>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</si>
  <si>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</si>
  <si>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</si>
  <si>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</si>
  <si>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</si>
  <si>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</si>
  <si>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</si>
  <si>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</si>
  <si>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</si>
  <si>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</si>
  <si>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</si>
  <si>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</si>
  <si>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</si>
  <si>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</si>
  <si>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</si>
  <si>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</si>
  <si>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</si>
  <si>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</si>
  <si>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</si>
  <si>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</si>
  <si>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</si>
  <si>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</si>
  <si>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</si>
  <si>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</si>
  <si>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</si>
  <si>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</si>
  <si>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</si>
  <si>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</si>
  <si>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</si>
  <si>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</si>
  <si>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</si>
  <si>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</si>
  <si>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</si>
  <si>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</si>
  <si>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</si>
  <si>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</si>
  <si>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</si>
  <si>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</si>
  <si>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</si>
  <si>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</si>
  <si>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</si>
  <si>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</si>
  <si>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</si>
  <si>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</si>
  <si>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</si>
  <si>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</si>
  <si>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</si>
  <si>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</si>
  <si>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</si>
  <si>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</si>
  <si>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</si>
  <si>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</si>
  <si>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</si>
  <si>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</si>
  <si>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</si>
  <si>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</si>
  <si>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</si>
  <si>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</si>
  <si>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</si>
  <si>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</si>
  <si>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</si>
  <si>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</si>
  <si>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</si>
  <si>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</si>
  <si>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</si>
  <si>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</si>
  <si>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</si>
  <si>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</si>
  <si>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</si>
  <si>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</si>
  <si>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</si>
  <si>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</si>
  <si>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</si>
  <si>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</si>
  <si>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</si>
  <si>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</si>
  <si>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</si>
  <si>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</si>
  <si>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</si>
  <si>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</si>
  <si>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</si>
  <si>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</si>
  <si>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</si>
  <si>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</si>
  <si>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</si>
  <si>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</si>
  <si>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</si>
  <si>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</si>
  <si>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</si>
  <si>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</si>
  <si>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</si>
  <si>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</si>
  <si>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</si>
  <si>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</si>
  <si>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</si>
  <si>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</si>
  <si>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</si>
  <si>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</si>
  <si>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</si>
  <si>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</si>
  <si>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</si>
  <si>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</si>
  <si>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</si>
  <si>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</si>
  <si>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</si>
  <si>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</si>
  <si>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</si>
  <si>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</si>
  <si>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</si>
  <si>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</si>
  <si>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</si>
  <si>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</si>
  <si>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</si>
  <si>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</si>
  <si>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</si>
  <si>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</si>
  <si>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</si>
  <si>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</si>
  <si>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</si>
  <si>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</si>
  <si>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</si>
  <si>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</si>
  <si>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</si>
  <si>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</si>
  <si>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</si>
  <si>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</si>
  <si>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</si>
  <si>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</si>
  <si>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</si>
  <si>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</si>
  <si>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</si>
  <si>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</si>
  <si>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</si>
  <si>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</si>
  <si>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</si>
  <si>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</si>
  <si>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</si>
  <si>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</si>
  <si>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</si>
  <si>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</si>
  <si>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</si>
  <si>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</si>
  <si>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</si>
  <si>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</si>
  <si>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</si>
  <si>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</si>
  <si>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</si>
  <si>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</si>
  <si>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</si>
  <si>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</si>
  <si>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</si>
  <si>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</si>
  <si>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</si>
  <si>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</si>
  <si>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</si>
  <si>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</si>
  <si>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</si>
  <si>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</si>
  <si>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</si>
  <si>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</si>
  <si>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</si>
  <si>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</si>
  <si>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</si>
  <si>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</si>
  <si>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</si>
  <si>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</si>
  <si>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</si>
  <si>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</si>
  <si>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</si>
  <si>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</si>
  <si>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</si>
  <si>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</si>
  <si>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</si>
  <si>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</si>
  <si>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</si>
  <si>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</si>
  <si>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</si>
  <si>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</si>
  <si>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</si>
  <si>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</si>
  <si>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</si>
  <si>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</si>
  <si>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</si>
  <si>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</si>
  <si>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</si>
  <si>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</si>
  <si>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</si>
  <si>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</si>
  <si>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</si>
  <si>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</si>
  <si>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</si>
  <si>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</si>
  <si>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</si>
  <si>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</si>
  <si>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</si>
  <si>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</si>
  <si>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</si>
  <si>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</si>
  <si>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</si>
  <si>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</si>
  <si>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</si>
  <si>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</si>
  <si>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</si>
  <si>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</si>
  <si>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</si>
  <si>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</si>
  <si>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</si>
  <si>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</si>
  <si>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</si>
  <si>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</si>
  <si>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</si>
  <si>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</si>
  <si>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</si>
  <si>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</si>
  <si>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</si>
  <si>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</si>
  <si>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</si>
  <si>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</si>
  <si>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</si>
  <si>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</si>
  <si>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</si>
  <si>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</si>
  <si>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</si>
  <si>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</si>
  <si>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</si>
  <si>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</si>
  <si>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</si>
  <si>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</si>
  <si>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</si>
  <si>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</si>
  <si>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</si>
  <si>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</si>
  <si>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</si>
  <si>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</si>
  <si>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</si>
  <si>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</si>
  <si>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</si>
  <si>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</si>
  <si>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</si>
  <si>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</si>
  <si>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</si>
  <si>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</si>
  <si>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</si>
  <si>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</si>
  <si>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</si>
  <si>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</si>
  <si>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</si>
  <si>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</si>
  <si>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</si>
  <si>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</si>
  <si>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</si>
  <si>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</si>
  <si>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</si>
  <si>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</si>
  <si>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</si>
  <si>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</si>
  <si>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</si>
  <si>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</si>
  <si>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</si>
  <si>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</si>
  <si>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</si>
  <si>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</si>
  <si>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</si>
  <si>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</si>
  <si>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</si>
  <si>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</si>
  <si>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</si>
  <si>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</si>
  <si>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</si>
  <si>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</si>
  <si>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</si>
  <si>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</si>
  <si>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</si>
  <si>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</si>
  <si>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</si>
  <si>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</si>
  <si>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</si>
  <si>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</si>
  <si>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</si>
  <si>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</si>
  <si>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</si>
  <si>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</si>
  <si>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</si>
  <si>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</si>
  <si>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</si>
  <si>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</si>
  <si>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</si>
  <si>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</si>
  <si>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</si>
  <si>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</si>
  <si>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</si>
  <si>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</si>
  <si>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</si>
  <si>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</si>
  <si>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</si>
  <si>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</si>
  <si>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</si>
  <si>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</si>
  <si>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</si>
  <si>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</si>
  <si>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</si>
  <si>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</si>
  <si>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</si>
  <si>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</si>
  <si>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</si>
  <si>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</si>
  <si>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</si>
  <si>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</si>
  <si>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</si>
  <si>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</si>
  <si>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</si>
  <si>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</si>
  <si>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</si>
  <si>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</si>
  <si>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</si>
  <si>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</si>
  <si>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</si>
  <si>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</si>
  <si>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</si>
  <si>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</si>
  <si>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</si>
  <si>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</si>
  <si>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</si>
  <si>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</si>
  <si>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</si>
  <si>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</si>
  <si>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</si>
  <si>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</si>
  <si>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</si>
  <si>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</si>
  <si>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</si>
  <si>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</si>
  <si>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</si>
  <si>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</si>
  <si>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</si>
  <si>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</si>
  <si>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</si>
  <si>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</si>
  <si>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</si>
  <si>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</si>
  <si>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</si>
  <si>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</si>
  <si>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</si>
  <si>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</si>
  <si>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</si>
  <si>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</si>
  <si>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</si>
  <si>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</si>
  <si>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</si>
  <si>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</si>
  <si>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</si>
  <si>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</si>
  <si>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</si>
  <si>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</si>
  <si>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</si>
  <si>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</si>
  <si>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</si>
  <si>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</si>
  <si>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</si>
  <si>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</si>
  <si>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</si>
  <si>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</si>
  <si>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</si>
  <si>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</si>
  <si>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</si>
  <si>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</si>
  <si>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</si>
  <si>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</si>
  <si>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</si>
  <si>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</si>
  <si>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</si>
  <si>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</si>
  <si>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</si>
  <si>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</si>
  <si>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</si>
  <si>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</si>
  <si>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</si>
  <si>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</si>
  <si>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</si>
  <si>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</si>
  <si>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</si>
  <si>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</si>
  <si>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</si>
  <si>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</si>
  <si>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</si>
  <si>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</si>
  <si>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</si>
  <si>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</si>
  <si>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</si>
  <si>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</si>
  <si>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</si>
  <si>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</si>
  <si>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</si>
  <si>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</si>
  <si>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</si>
  <si>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</si>
  <si>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</si>
  <si>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</si>
  <si>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</si>
  <si>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</si>
  <si>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</si>
  <si>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</si>
  <si>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</si>
  <si>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</si>
  <si>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</si>
  <si>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</si>
  <si>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</si>
  <si>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</si>
  <si>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</si>
  <si>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</si>
  <si>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</si>
  <si>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</si>
  <si>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</si>
  <si>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</si>
  <si>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</si>
  <si>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</si>
  <si>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</si>
  <si>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</si>
  <si>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</si>
  <si>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</si>
  <si>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</si>
  <si>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</si>
  <si>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</si>
  <si>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</si>
  <si>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</si>
  <si>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</si>
  <si>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</si>
  <si>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</si>
  <si>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</si>
  <si>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</si>
  <si>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</si>
  <si>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</si>
  <si>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</si>
  <si>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</si>
  <si>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</si>
  <si>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</si>
  <si>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</si>
  <si>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</si>
  <si>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</si>
  <si>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</si>
  <si>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</si>
  <si>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</si>
  <si>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</si>
  <si>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</si>
  <si>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</si>
  <si>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</si>
  <si>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</si>
  <si>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</si>
  <si>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</si>
  <si>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</si>
  <si>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</si>
  <si>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</si>
  <si>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</si>
  <si>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</si>
  <si>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</si>
  <si>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</si>
  <si>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</si>
  <si>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</si>
  <si>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</si>
  <si>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</si>
  <si>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</si>
  <si>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</si>
  <si>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</si>
  <si>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</si>
  <si>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</si>
  <si>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</si>
  <si>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</si>
  <si>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</si>
  <si>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</si>
  <si>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</si>
  <si>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</si>
  <si>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</si>
  <si>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</si>
  <si>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</si>
  <si>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</si>
  <si>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</si>
  <si>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</si>
  <si>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</si>
  <si>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</si>
  <si>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</si>
  <si>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</si>
  <si>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</si>
  <si>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</si>
  <si>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</si>
  <si>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</si>
  <si>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</si>
  <si>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</si>
  <si>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</si>
  <si>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</si>
  <si>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</si>
  <si>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</si>
  <si>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</si>
  <si>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</si>
  <si>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</si>
  <si>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</si>
  <si>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</si>
  <si>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</si>
  <si>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</si>
  <si>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</si>
  <si>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</si>
  <si>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</si>
  <si>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</si>
  <si>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</si>
  <si>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</si>
  <si>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</si>
  <si>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</si>
  <si>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</si>
  <si>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</si>
  <si>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</si>
  <si>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</si>
  <si>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</si>
  <si>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</si>
  <si>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</si>
  <si>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</si>
  <si>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</si>
  <si>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</si>
  <si>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</si>
  <si>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</si>
  <si>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</si>
  <si>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</si>
  <si>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</si>
  <si>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</si>
  <si>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</si>
  <si>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</si>
  <si>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</si>
  <si>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</si>
  <si>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</si>
  <si>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</si>
  <si>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</si>
  <si>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</si>
  <si>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</si>
  <si>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</si>
  <si>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</si>
  <si>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</si>
  <si>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</si>
  <si>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</si>
  <si>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</si>
  <si>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</si>
  <si>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</si>
  <si>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</si>
  <si>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</si>
  <si>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</si>
  <si>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</si>
  <si>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</si>
  <si>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</si>
  <si>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</si>
  <si>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</si>
  <si>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</si>
  <si>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</si>
  <si>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</si>
  <si>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</si>
  <si>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</si>
  <si>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</si>
  <si>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</si>
  <si>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</si>
  <si>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</si>
  <si>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</si>
  <si>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</si>
  <si>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</si>
  <si>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</si>
  <si>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</si>
  <si>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</si>
  <si>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</si>
  <si>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</si>
  <si>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</si>
  <si>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</si>
  <si>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</si>
  <si>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</si>
  <si>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</si>
  <si>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</si>
  <si>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</si>
  <si>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</si>
  <si>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</si>
  <si>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</si>
  <si>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</si>
  <si>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</si>
  <si>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</si>
  <si>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</si>
  <si>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</si>
  <si>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</si>
  <si>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</si>
  <si>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</si>
  <si>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</si>
  <si>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</si>
  <si>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</si>
  <si>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</si>
  <si>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</si>
  <si>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</si>
  <si>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</si>
  <si>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</si>
  <si>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</si>
  <si>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</si>
  <si>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</si>
  <si>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</si>
  <si>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</si>
  <si>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</si>
  <si>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</si>
  <si>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</si>
  <si>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</si>
  <si>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</si>
  <si>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</si>
  <si>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</si>
  <si>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</si>
  <si>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</si>
  <si>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</si>
  <si>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</si>
  <si>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</si>
  <si>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</si>
  <si>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</si>
  <si>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</si>
  <si>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</si>
  <si>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</si>
  <si>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</si>
  <si>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</si>
  <si>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</si>
  <si>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</si>
  <si>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</si>
  <si>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</si>
  <si>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</si>
  <si>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</si>
  <si>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</si>
  <si>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</si>
  <si>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</si>
  <si>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</si>
  <si>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</si>
  <si>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</si>
  <si>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</si>
  <si>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</si>
  <si>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</si>
  <si>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</si>
  <si>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</si>
  <si>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</si>
  <si>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</si>
  <si>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</si>
  <si>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</si>
  <si>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</si>
  <si>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</si>
  <si>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</si>
  <si>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</si>
  <si>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</si>
  <si>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</si>
  <si>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</si>
  <si>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</si>
  <si>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</si>
  <si>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</si>
  <si>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</si>
  <si>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</si>
  <si>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</si>
  <si>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</si>
  <si>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</si>
  <si>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</si>
  <si>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</si>
  <si>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</si>
  <si>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</si>
  <si>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</si>
  <si>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</si>
  <si>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</si>
  <si>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</si>
  <si>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</si>
  <si>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</si>
  <si>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</si>
  <si>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</si>
  <si>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</si>
  <si>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</si>
  <si>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</si>
  <si>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</si>
  <si>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</si>
  <si>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</si>
  <si>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</si>
  <si>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</si>
  <si>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</si>
  <si>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</si>
  <si>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</si>
  <si>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</si>
  <si>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</si>
  <si>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</si>
  <si>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</si>
  <si>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</si>
  <si>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</si>
  <si>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</si>
  <si>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</si>
  <si>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</si>
  <si>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</si>
  <si>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</si>
  <si>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</si>
  <si>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</si>
  <si>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</si>
  <si>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</si>
  <si>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</si>
  <si>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</si>
  <si>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</si>
  <si>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</si>
  <si>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</si>
  <si>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</si>
  <si>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</si>
  <si>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</si>
  <si>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</si>
  <si>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</si>
  <si>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</si>
  <si>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</si>
  <si>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</si>
  <si>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</si>
  <si>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</si>
  <si>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</si>
  <si>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</si>
  <si>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</si>
  <si>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</si>
  <si>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</si>
  <si>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</si>
  <si>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</si>
  <si>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</si>
  <si>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</si>
  <si>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</si>
  <si>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</si>
  <si>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</si>
  <si>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</si>
  <si>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</si>
  <si>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</si>
  <si>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</si>
  <si>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</si>
  <si>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</si>
  <si>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</si>
  <si>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</si>
  <si>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</si>
  <si>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</si>
  <si>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</si>
  <si>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</si>
  <si>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</si>
  <si>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</si>
  <si>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</si>
  <si>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</si>
  <si>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</si>
  <si>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</si>
  <si>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</si>
  <si>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</si>
  <si>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</si>
  <si>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</si>
  <si>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</si>
  <si>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</si>
  <si>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</si>
  <si>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</si>
  <si>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</si>
  <si>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</si>
  <si>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</si>
  <si>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</si>
  <si>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</si>
  <si>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</si>
  <si>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</si>
  <si>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</si>
  <si>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</si>
  <si>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</si>
  <si>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</si>
  <si>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</si>
  <si>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</si>
  <si>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</si>
  <si>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</si>
  <si>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</si>
  <si>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</si>
  <si>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</si>
  <si>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</si>
  <si>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</si>
  <si>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</si>
  <si>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</si>
  <si>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</si>
  <si>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</si>
  <si>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</si>
  <si>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</si>
  <si>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</si>
  <si>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</si>
  <si>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</si>
  <si>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</si>
  <si>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</si>
  <si>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</si>
  <si>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</si>
  <si>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</si>
  <si>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</si>
  <si>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</si>
  <si>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</si>
  <si>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</si>
  <si>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</si>
  <si>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</si>
  <si>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</si>
  <si>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</si>
  <si>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</si>
  <si>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</si>
  <si>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</si>
  <si>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</si>
  <si>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</si>
  <si>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</si>
  <si>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</si>
  <si>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</si>
  <si>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</si>
  <si>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</si>
  <si>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</si>
  <si>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</si>
  <si>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</si>
  <si>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</si>
  <si>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</si>
  <si>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</si>
  <si>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</si>
  <si>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</si>
  <si>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</si>
  <si>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</si>
  <si>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</si>
  <si>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</si>
  <si>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</si>
  <si>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</si>
  <si>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</si>
  <si>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</si>
  <si>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</si>
  <si>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</si>
  <si>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</si>
  <si>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</si>
  <si>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</si>
  <si>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</si>
  <si>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</si>
  <si>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</si>
  <si>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</si>
  <si>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</si>
  <si>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</si>
  <si>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</si>
  <si>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</si>
  <si>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</si>
  <si>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</si>
  <si>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</si>
  <si>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</si>
  <si>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</si>
  <si>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</si>
  <si>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</si>
  <si>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</si>
  <si>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</si>
  <si>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</si>
  <si>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</si>
  <si>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</si>
  <si>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</si>
  <si>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</si>
  <si>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</si>
  <si>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</si>
  <si>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</si>
  <si>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</si>
  <si>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</si>
  <si>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</si>
  <si>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</si>
  <si>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</si>
  <si>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</si>
  <si>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</si>
  <si>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</si>
  <si>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</si>
  <si>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</si>
  <si>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</si>
  <si>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</si>
  <si>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</si>
  <si>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</si>
  <si>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</si>
  <si>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</si>
  <si>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</si>
  <si>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</si>
  <si>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</si>
  <si>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</si>
  <si>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</si>
  <si>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</si>
  <si>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</si>
  <si>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</si>
  <si>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</si>
  <si>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</si>
  <si>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</si>
  <si>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</si>
  <si>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</si>
  <si>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</si>
  <si>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</si>
  <si>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</si>
  <si>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</si>
  <si>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</si>
  <si>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</si>
  <si>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</si>
  <si>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</si>
  <si>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</si>
  <si>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</si>
  <si>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</si>
  <si>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</si>
  <si>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</si>
  <si>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</si>
  <si>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</si>
  <si>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</si>
  <si>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</si>
  <si>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</si>
  <si>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</si>
  <si>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</si>
  <si>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</si>
  <si>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</si>
  <si>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</si>
  <si>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</si>
  <si>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</si>
  <si>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</si>
  <si>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</si>
  <si>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</si>
  <si>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</si>
  <si>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</si>
  <si>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</si>
  <si>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</si>
  <si>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</si>
  <si>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</si>
  <si>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</si>
  <si>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</si>
  <si>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</si>
  <si>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</si>
  <si>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</si>
  <si>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</si>
  <si>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</si>
  <si>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</si>
  <si>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</si>
  <si>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</si>
  <si>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</si>
  <si>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</si>
  <si>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</si>
  <si>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</si>
  <si>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</si>
  <si>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</si>
  <si>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</si>
  <si>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</si>
  <si>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</si>
  <si>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</si>
  <si>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</si>
  <si>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</si>
  <si>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</si>
  <si>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</si>
  <si>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</si>
  <si>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</si>
  <si>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</si>
  <si>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</si>
  <si>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</si>
  <si>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</si>
  <si>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</si>
  <si>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</si>
  <si>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</si>
  <si>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</si>
  <si>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</si>
  <si>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</si>
  <si>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</si>
  <si>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</si>
  <si>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</si>
  <si>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</si>
  <si>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</si>
  <si>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</si>
  <si>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</si>
  <si>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</si>
  <si>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</si>
  <si>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</si>
  <si>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</si>
  <si>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</si>
  <si>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</si>
  <si>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</si>
  <si>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</si>
  <si>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</si>
  <si>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</si>
  <si>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</si>
  <si>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</si>
  <si>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</si>
  <si>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</si>
  <si>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</si>
  <si>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</si>
  <si>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</si>
  <si>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</si>
  <si>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</si>
  <si>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</si>
  <si>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</si>
  <si>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</si>
  <si>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</si>
  <si>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</si>
  <si>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</si>
  <si>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</si>
  <si>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</si>
  <si>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</si>
  <si>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</si>
  <si>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</si>
  <si>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</si>
  <si>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</si>
  <si>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</si>
  <si>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</si>
  <si>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</si>
  <si>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</si>
  <si>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</si>
  <si>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</si>
  <si>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</si>
  <si>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</si>
  <si>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</si>
  <si>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</si>
  <si>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</si>
  <si>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</si>
  <si>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</si>
  <si>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</si>
  <si>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</si>
  <si>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</si>
  <si>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</si>
  <si>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</si>
  <si>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</si>
  <si>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</si>
  <si>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</si>
  <si>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</si>
  <si>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</si>
  <si>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</si>
  <si>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</si>
  <si>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</si>
  <si>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</si>
  <si>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</si>
  <si>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</si>
  <si>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</si>
  <si>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</si>
  <si>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</si>
  <si>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</si>
  <si>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</si>
  <si>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</si>
  <si>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</si>
  <si>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</si>
  <si>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</si>
  <si>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</si>
  <si>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</si>
  <si>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</si>
  <si>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</si>
  <si>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</si>
  <si>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</si>
  <si>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</si>
  <si>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</si>
  <si>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</si>
  <si>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</si>
  <si>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</si>
  <si>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</si>
  <si>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</si>
  <si>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</si>
  <si>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</si>
  <si>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</si>
  <si>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</si>
  <si>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</si>
  <si>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</si>
  <si>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</si>
  <si>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</si>
  <si>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</si>
  <si>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</si>
  <si>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</si>
  <si>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</si>
  <si>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</si>
  <si>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</si>
  <si>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</si>
  <si>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</si>
  <si>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</si>
  <si>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</si>
  <si>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</si>
  <si>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</si>
  <si>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</si>
  <si>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</si>
  <si>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</si>
  <si>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</si>
  <si>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</si>
  <si>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</si>
  <si>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</si>
  <si>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</si>
  <si>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</si>
  <si>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</si>
  <si>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</si>
  <si>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</si>
  <si>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</si>
  <si>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</si>
  <si>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</si>
  <si>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</si>
  <si>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</si>
  <si>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</si>
  <si>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</si>
  <si>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</si>
  <si>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</si>
  <si>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</si>
  <si>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</si>
  <si>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</si>
  <si>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</si>
  <si>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</si>
  <si>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</si>
  <si>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</si>
  <si>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</si>
  <si>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</si>
  <si>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</si>
  <si>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</si>
  <si>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</si>
  <si>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</si>
  <si>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</si>
  <si>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</si>
  <si>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</si>
  <si>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</si>
  <si>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</si>
  <si>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</si>
  <si>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</si>
  <si>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</si>
  <si>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</si>
  <si>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</si>
  <si>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</si>
  <si>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</si>
  <si>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</si>
  <si>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</si>
  <si>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</si>
  <si>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</si>
  <si>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</si>
  <si>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</si>
  <si>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</si>
  <si>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</si>
  <si>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</si>
  <si>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</si>
  <si>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</si>
  <si>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</si>
  <si>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</si>
  <si>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</si>
  <si>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</si>
  <si>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</si>
  <si>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</si>
  <si>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</si>
  <si>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</si>
  <si>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</si>
  <si>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</si>
  <si>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</si>
  <si>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</si>
  <si>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</si>
  <si>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</si>
  <si>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</si>
  <si>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</si>
  <si>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</si>
  <si>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</si>
  <si>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</si>
  <si>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</si>
  <si>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</si>
  <si>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</si>
  <si>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</si>
  <si>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</si>
  <si>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</si>
  <si>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</si>
  <si>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</si>
  <si>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</si>
  <si>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</si>
  <si>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</si>
  <si>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</si>
  <si>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</si>
  <si>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</si>
  <si>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</si>
  <si>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</si>
  <si>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</si>
  <si>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</si>
  <si>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</si>
  <si>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</si>
  <si>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</si>
  <si>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</si>
  <si>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</si>
  <si>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</si>
  <si>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</si>
  <si>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</si>
  <si>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</si>
  <si>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</si>
  <si>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</si>
  <si>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</si>
  <si>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</si>
  <si>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</si>
  <si>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</si>
  <si>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</si>
  <si>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</si>
  <si>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</si>
  <si>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</si>
  <si>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</si>
  <si>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</si>
  <si>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</si>
  <si>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</si>
  <si>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</si>
  <si>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</si>
  <si>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</si>
  <si>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</si>
  <si>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</si>
  <si>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</si>
  <si>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</si>
  <si>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</si>
  <si>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</si>
  <si>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</si>
  <si>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</si>
  <si>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</si>
  <si>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</si>
  <si>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</si>
  <si>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</si>
  <si>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</si>
  <si>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</si>
  <si>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</si>
  <si>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</si>
  <si>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</si>
  <si>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</si>
  <si>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</si>
  <si>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</si>
  <si>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</si>
  <si>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</si>
  <si>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</si>
  <si>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</si>
  <si>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</si>
  <si>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</si>
  <si>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</si>
  <si>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</si>
  <si>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</si>
  <si>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</si>
  <si>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</si>
  <si>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</si>
  <si>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</si>
  <si>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</si>
  <si>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</si>
  <si>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</si>
  <si>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</si>
  <si>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</si>
  <si>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</si>
  <si>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</si>
  <si>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</si>
  <si>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</si>
  <si>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</si>
  <si>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</si>
  <si>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</si>
  <si>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</si>
  <si>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</si>
  <si>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</si>
  <si>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</si>
  <si>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</si>
  <si>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</si>
  <si>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</si>
  <si>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</si>
  <si>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</si>
  <si>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</si>
  <si>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</si>
  <si>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</si>
  <si>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</si>
  <si>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</si>
  <si>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</si>
  <si>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</si>
  <si>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</si>
  <si>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</si>
  <si>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</si>
  <si>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</si>
  <si>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</si>
  <si>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</si>
  <si>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</si>
  <si>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</si>
  <si>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</si>
  <si>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</si>
  <si>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</si>
  <si>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</si>
  <si>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</si>
  <si>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</si>
  <si>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</si>
  <si>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</si>
  <si>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</si>
  <si>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</si>
  <si>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</si>
  <si>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</si>
  <si>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</si>
  <si>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</si>
  <si>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</si>
  <si>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</si>
  <si>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</si>
  <si>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</si>
  <si>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</si>
  <si>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</si>
  <si>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</si>
  <si>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</si>
  <si>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</si>
  <si>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</si>
  <si>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</si>
  <si>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</si>
  <si>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</si>
  <si>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</si>
  <si>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</si>
  <si>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</si>
  <si>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</si>
  <si>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</si>
  <si>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</si>
  <si>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</si>
  <si>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</si>
  <si>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</si>
  <si>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</si>
  <si>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</si>
  <si>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</si>
  <si>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</si>
  <si>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</si>
  <si>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</si>
  <si>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</si>
  <si>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</si>
  <si>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</si>
  <si>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</si>
  <si>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</si>
  <si>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</si>
  <si>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</si>
  <si>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</si>
  <si>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</si>
  <si>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</si>
  <si>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</si>
  <si>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</si>
  <si>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</si>
  <si>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</si>
  <si>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</si>
  <si>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</si>
  <si>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</si>
  <si>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</si>
  <si>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</si>
  <si>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</si>
  <si>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</si>
  <si>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</si>
  <si>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</si>
  <si>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</si>
  <si>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</si>
  <si>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</si>
  <si>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</si>
  <si>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</si>
  <si>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</si>
  <si>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</si>
  <si>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</si>
  <si>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</si>
  <si>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</si>
  <si>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</si>
  <si>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</si>
  <si>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</si>
  <si>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</si>
  <si>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</si>
  <si>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</si>
  <si>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</si>
  <si>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</si>
  <si>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</si>
  <si>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</si>
  <si>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</si>
  <si>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</si>
  <si>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</si>
  <si>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</si>
  <si>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</si>
  <si>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</si>
  <si>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</si>
  <si>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</si>
  <si>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</si>
  <si>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</si>
  <si>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</si>
  <si>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</si>
  <si>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</si>
  <si>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</si>
  <si>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</si>
  <si>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</si>
  <si>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</si>
  <si>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</si>
  <si>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</si>
  <si>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</si>
  <si>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</si>
  <si>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</si>
  <si>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</si>
  <si>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</si>
  <si>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</si>
  <si>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</si>
  <si>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</si>
  <si>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</si>
  <si>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</si>
  <si>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</si>
  <si>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</si>
  <si>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</si>
  <si>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</si>
  <si>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</si>
  <si>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</si>
  <si>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</si>
  <si>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</si>
  <si>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</si>
  <si>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</si>
  <si>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</si>
  <si>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</si>
  <si>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</si>
  <si>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</si>
  <si>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</si>
  <si>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</si>
  <si>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</si>
  <si>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</si>
  <si>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</si>
  <si>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</si>
  <si>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</si>
  <si>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</si>
  <si>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</si>
  <si>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</si>
  <si>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</si>
  <si>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</si>
  <si>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</si>
  <si>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</si>
  <si>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</si>
  <si>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</si>
  <si>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</si>
  <si>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</si>
  <si>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</si>
  <si>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</si>
  <si>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</si>
  <si>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</si>
  <si>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</si>
  <si>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</si>
  <si>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</si>
  <si>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</si>
  <si>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</si>
  <si>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</si>
  <si>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</si>
  <si>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</si>
  <si>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</si>
  <si>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</si>
  <si>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</si>
  <si>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</si>
  <si>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</si>
  <si>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</si>
  <si>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</si>
  <si>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</si>
  <si>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</si>
  <si>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</si>
  <si>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</si>
  <si>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</si>
  <si>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</si>
  <si>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</si>
  <si>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</si>
  <si>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</si>
  <si>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</si>
  <si>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</si>
  <si>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</si>
  <si>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</si>
  <si>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</si>
  <si>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</si>
  <si>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</si>
  <si>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</si>
  <si>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</si>
  <si>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</si>
  <si>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</si>
  <si>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</si>
  <si>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</si>
  <si>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</si>
  <si>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</si>
  <si>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</si>
  <si>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</si>
  <si>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</si>
  <si>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</si>
  <si>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</si>
  <si>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</si>
  <si>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</si>
  <si>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</si>
  <si>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</si>
  <si>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</si>
  <si>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</si>
  <si>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</si>
  <si>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</si>
  <si>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</si>
  <si>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</si>
  <si>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</si>
  <si>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</si>
  <si>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</si>
  <si>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</si>
  <si>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</si>
  <si>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</si>
  <si>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</si>
  <si>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</si>
  <si>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</si>
  <si>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</si>
  <si>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</si>
  <si>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</si>
  <si>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</si>
  <si>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</si>
  <si>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</si>
  <si>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</si>
  <si>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</si>
  <si>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</si>
  <si>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</si>
  <si>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</si>
  <si>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</si>
  <si>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</si>
  <si>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</si>
  <si>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</si>
  <si>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</si>
  <si>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</si>
  <si>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</si>
  <si>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</si>
  <si>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</si>
  <si>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</si>
  <si>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</si>
  <si>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</si>
  <si>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</si>
  <si>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</si>
  <si>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</si>
  <si>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</si>
  <si>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</si>
  <si>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</si>
  <si>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</si>
  <si>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</si>
  <si>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</si>
  <si>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</si>
  <si>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</si>
  <si>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</si>
  <si>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</si>
  <si>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</si>
  <si>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</si>
  <si>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</si>
  <si>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</si>
  <si>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</si>
  <si>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</si>
  <si>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</si>
  <si>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</si>
  <si>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</si>
  <si>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</si>
  <si>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</si>
  <si>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</si>
  <si>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</si>
  <si>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</si>
  <si>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</si>
  <si>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</si>
  <si>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</si>
  <si>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</si>
  <si>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</si>
  <si>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</si>
  <si>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</si>
  <si>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</si>
  <si>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</si>
  <si>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</si>
  <si>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</si>
  <si>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</si>
  <si>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</si>
  <si>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</si>
  <si>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</si>
  <si>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</si>
  <si>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</si>
  <si>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</si>
  <si>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</si>
  <si>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</si>
  <si>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</si>
  <si>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</si>
  <si>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</si>
  <si>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</si>
  <si>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</si>
  <si>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</si>
  <si>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</si>
  <si>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</si>
  <si>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</si>
  <si>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</si>
  <si>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</si>
  <si>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</si>
  <si>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</si>
  <si>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</si>
  <si>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</si>
  <si>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</si>
  <si>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</si>
  <si>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</si>
  <si>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</si>
  <si>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</si>
  <si>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</si>
  <si>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</si>
  <si>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</si>
  <si>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</si>
  <si>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</si>
  <si>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</si>
  <si>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</si>
  <si>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</si>
  <si>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</si>
  <si>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</si>
  <si>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</si>
  <si>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</si>
  <si>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</si>
  <si>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</si>
  <si>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</si>
  <si>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</si>
  <si>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</si>
  <si>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</si>
  <si>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</si>
  <si>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</si>
  <si>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</si>
  <si>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</si>
  <si>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</si>
  <si>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</si>
  <si>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</si>
  <si>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</si>
  <si>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</si>
  <si>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</si>
  <si>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</si>
  <si>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</si>
  <si>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</si>
  <si>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</si>
  <si>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</si>
  <si>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</si>
  <si>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</si>
  <si>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</si>
  <si>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Max Elbe</t>
  </si>
  <si>
    <t>max@lchousing.com</t>
  </si>
  <si>
    <t>Lowcountry Housing Communities II, LLC</t>
  </si>
  <si>
    <t>Robert Haley</t>
  </si>
  <si>
    <t>rob@lchousing.com</t>
  </si>
  <si>
    <t>City Limits</t>
  </si>
  <si>
    <t>Sterling Bank</t>
  </si>
  <si>
    <t>Affordable Equity Partners</t>
  </si>
  <si>
    <t>Affordable Housing Partners</t>
  </si>
  <si>
    <t>huduser.org</t>
  </si>
  <si>
    <t>DCA South</t>
  </si>
  <si>
    <t>DCA Utility Allowance- South</t>
  </si>
  <si>
    <t>Electric Heat Pump</t>
  </si>
  <si>
    <t>Electric Fee</t>
  </si>
  <si>
    <t>N/a</t>
  </si>
  <si>
    <t>Cable/Internet Clubhouse</t>
  </si>
  <si>
    <t xml:space="preserve">This application demonstrates that the proposed project is feasible and viable under DCA's rules and requirements that are outlined in the 2024 Qualified Allocation Plan ("QAP").  The application conforms to the 2024 QAP.  </t>
  </si>
  <si>
    <t>Applicant selects Family Tenancy.</t>
  </si>
  <si>
    <t>Novogradac &amp; Company, LLC</t>
  </si>
  <si>
    <t>Terracon</t>
  </si>
  <si>
    <t>Purchase Contract</t>
  </si>
  <si>
    <t>Building</t>
  </si>
  <si>
    <t>Covered Porch</t>
  </si>
  <si>
    <t>On-site laundry</t>
  </si>
  <si>
    <t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t>
  </si>
  <si>
    <t>The proposed project is new construction.  This section is not applicable.</t>
  </si>
  <si>
    <t>Conceptual Site Development Plan is in the Readiness to Proceeds folder in the application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t>
  </si>
  <si>
    <t>Agree</t>
  </si>
  <si>
    <t xml:space="preserve">The applicant will employ a qualified accessibility consultant and will follow all required accessibility standards.  </t>
  </si>
  <si>
    <t>The applicant certifies that all dwelling units will comply with the requirements of the 2024 QAP, XV Building Sustainability and the 2024 Architectural Manual.  The applicant will obtain sustainable building certification from Earth Craft House Multifamily (ECMF).  The applicant will provide the appropriate documentation for this section at Threshold Review.</t>
  </si>
  <si>
    <t>The project will include the designs mentioned above.  The applicant will provide the appropriate documentation for this section at Threshold Review.</t>
  </si>
  <si>
    <t>Yes - see Comment</t>
  </si>
  <si>
    <t>Applicant is not applying under the Preservation Set-Aside.</t>
  </si>
  <si>
    <t>Applicant is not applying under the Nonprofit Set-Aside.</t>
  </si>
  <si>
    <t>The section is not applicable</t>
  </si>
  <si>
    <t>The applicant agrees to the above items.</t>
  </si>
  <si>
    <t>The applicant agrees to submit at threshold review:
1. Tentant Selection Plan.
2. MOU with referring entit(ies), since the Applicant claimed points under (Scoring) Integrated Supportive Housing in the Competitive Review Application.
The applicant also agree to sign and submit the Federal Guidance for Tenant Selection Affirmation at threshold review.</t>
  </si>
  <si>
    <t>The applicant agrees to the items required in this section.</t>
  </si>
  <si>
    <t xml:space="preserve">The applicant believes the project meets all of DCA's rules and guidelines.  The applicant also believes the costs of the project are reasonable.  Therefore, the proposed project should be an optimal utilization of DCA's resources.  </t>
  </si>
  <si>
    <t>Applicant commits to engaging QBs in the development or operation of the proposed property in amounts equal to approximately 10%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</si>
  <si>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The proposed development will reserve a percentage of units to prioritize referrals from DCA-approved entities that serve the area as determined by an MOU that must be executed following selection under the Competitive Round.
The following requirements must be met:
• The percentage of reserved units must be at least 10%.
• The number of units that are accessible and adaptable, as defined by the Fair Housing Amendments Act of 1988, must be at least as many as the number of units reserved for referrals.
• The Applicant agrees to the requirements and procedures outlined in Exhibit B to Scoring Criteria (“Supportive Housing Referral Commitments”).
The Applicant agrees to hold units vacant such that the referring entit(ies) have at least ninety days at initial occupancy and forty-five days at turnover to refer tenants to vacant units, up to the agreed-upon percentage.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</si>
  <si>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Submitted</t>
  </si>
  <si>
    <t>N/A - This applies to 4% deals only.</t>
  </si>
  <si>
    <t>The applicant has submitted all minimum threshold documentation for the items in A above with the exception of a Physical Needs Assessment.  The applicant is New Construction which makes that document "N/A".  Per the 2024 QAP, the the Applicant will receive a point for documents that are not applicable.</t>
  </si>
  <si>
    <t>Upon receiving Certificates of Occupancy:
• The Applicant commits to register to be a participating landlord with the local Housing Choice Voucher (HCV) administrator
• If the local PHA is not the HCV administrator for the area, Applicant further commits to inform the local PHA of the opportunity to refer eligible households on the PHA waiting lists to the property
Evidence of the above registration and written communications must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</si>
  <si>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This applicant is not scoing points in this section.</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</si>
  <si>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</si>
  <si>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Appraisal required at Threshold review.</t>
  </si>
  <si>
    <t>Pinecrest Village</t>
  </si>
  <si>
    <t>2024QD-011</t>
  </si>
  <si>
    <t>Pinecrest Village, LP</t>
  </si>
  <si>
    <t>City of Douglas</t>
  </si>
  <si>
    <t>The City of Douglas will be provide power to the project.  All required documentation is in the Readiness to Proceed section of the application.</t>
  </si>
  <si>
    <t xml:space="preserve">Water and sewer services will be provided by City of Douglas.  Please see the Readiness to Proceed section for suppporting documentation. </t>
  </si>
  <si>
    <t>Project will have direct access to Andrew Street.  The conceptual site plan shows two entrances into the project from Andrew Street.  See the site plan included in the Readiness to Proceed folder in the application.</t>
  </si>
  <si>
    <t>This section is not applicable</t>
  </si>
  <si>
    <t>Southern Georgia Regional Commission</t>
  </si>
  <si>
    <t>229-333-5277</t>
  </si>
  <si>
    <t>transit@sgrc.us</t>
  </si>
  <si>
    <t>https://www.sgrc.us/public-transit-services.html</t>
  </si>
  <si>
    <t>Southern Georgia Regional Commission provides on-call curb-to-curb transportation services for Coffee County.  The services are publicized to the general public via website and/or published brochure.  The services are available to all residents at the Applicant's proposed site.   The service provides door to door transit. 
Details of the services are as follows:
1. SGRC Public Transit is a publicly operated transit service that provides on call transportation to all members of the general public inside Coffee County, Georgia.
2. The cost of transit service is $3.00 for the first ten miles and 50 cent per mile after ten miles.
3. If an apartment complex is located in Coffee County, SGRC Public Transit would be able to provide transit services to and from that apartment complex if the residents schedule transport.
4. To obtain service, a potential rider should call SGRC Public Transit at least 24 hours in advance. The number to order transit service is: 855-360-7475.
Additional information can be obtained by contacting the Southern Georgia Regional Commission at (229) 333-5277, by email at transit@sgrc.us or by accessing the following link to the website: https://www.sgrc.us/public-transit-services.html
See the Community Transportation Options folder for further details.</t>
  </si>
  <si>
    <t>Westside Elementary School</t>
  </si>
  <si>
    <t>Coffee County Middle School</t>
  </si>
  <si>
    <t>Coffee County High School</t>
  </si>
  <si>
    <t>The QAP allows applicants to claim points for schools under one of the three options available, A, B or C.
Option A – No schools in Coffee County score under Option A.
Option B – Only two of the Coffee County schools received a Beating the Odds designation (“BTO”) in 2018 or later and are eligible to claim points under Option B.
     -Westside Elementary School (serves grades Pre-K-5) – received 2018 BTO
     -Coffee County Middle School (serves grades 6-8) – received 2019 BTO
Option C – Per the Option C Scoring Data Sheet published by DCA, the following schools meet the criteria to claim points under Option C:
1. Coffee County Middle School (serves grades 6-8) 
2. Coffee County High School (serves grades 9-12) 
Coffee County Schools only maintain a district map for elementary schools in the county.  Therefore, the Applicant included the elementary school district map and also obtained a letter from a school district representative evidencing that the proposed site is within the school district boundaries indicated in the chart above.  This letter includes the project location.  
None of the schools above conduct student admission on a selective basis. 
Pinecrest Village will serve a family tenancy and all four schools collectively serve grades K-12 and meet the criteria for points under at least one of the three options available in this section.  The applicant qualifies for 3 points in this section.  All supporting documentation is included in Quality Education Areas folder in the application.</t>
  </si>
  <si>
    <t>Per the data provided by DCA, looking back 15 years, the number of low-income new construction units as a percentage of the Coffee county's population is .102%.  Therefore, this applicant qualifies for 3 points.</t>
  </si>
  <si>
    <t>Pilgrim's Pride Corporation</t>
  </si>
  <si>
    <t>90+</t>
  </si>
  <si>
    <t>City of Douglas GICH</t>
  </si>
  <si>
    <t>The City of Douglas is a Certified GICH Alumni Commnunity.  The Applicant obtained a letter from the City of Douglas GICH team.  This letter was the sole letter issued in 2024 by the City of Douglas team and the letter identifies the boundaries of the GICH community, identifies the proposed development as being within the boundaries of the City of Douglas GICH community and the letter is executed by the primary contact for the City of Douglas GICH, Georgia Henderson.  The Applicant also obtained a letter from the local government agreeing to the issuance of the GICH letter.  Copies of all letters are in DCA Community Initiatives folder.</t>
  </si>
  <si>
    <t>Atlanta Neighborhood Development Partnership, Inc.</t>
  </si>
  <si>
    <t>Amortizing</t>
  </si>
  <si>
    <t>Supportive Services</t>
  </si>
  <si>
    <t>5,6,29,31,34</t>
  </si>
  <si>
    <t>The applicant is not scoring points in this section.</t>
  </si>
  <si>
    <t>This applicant is not scoring points in this section.</t>
  </si>
  <si>
    <t xml:space="preserve">
An appraisal prepared by a DCA approved appraiser will be provided at Threshold Review.</t>
  </si>
  <si>
    <t>113 McNeil Drive</t>
  </si>
  <si>
    <t xml:space="preserve">SECTION A
Pinecrest Village is located within the boundaries of the City of Douglas, Georgia Urban Revitalization Plan (“URP”).  The URP meets the requirements below that are required by the QAP to be considered a URP:
(1) The URP clearly delineates a Targeted Area that includes the proposed site within the City of Douglas. (2) The URP discusses housing as a goal of the URP. (3) The URP was adopted by the City of Douglas on December 14, 2020 which is less than ten (10) years from the Application Submission date. (4)The submitted URP was adopted by a local government that has all three designations above: PlanFirst, Revitalization Area Strategy and Rural Zone. (5)The URP includes an assessment of the Targeted Area’s existing infrastructure and the URP designates implementation measures.(6)The Applicant's site is not located in a QCT.
Based on the above, the Applicant scores 5 points in Section A.
SECTION B
The applicant and Helping Hands Ending Hunger have agreed to serve as the Community Based Developer and has the following Community Partnerships.  1. Outdoor Network  2. Ardurra 3. Dougherty County School System  4. Georgia's Own Credit Union 5. Second Harvest of South Georgia 6. Chattanooga Area Food Bank. 7. Northwest Georgia Regional Cancer Coalition.  The combined number of years as community partners exceeds 38 years.
 The proposed development is within a Defined Neighborhood as defined in the QAP.  A map of the Defined Neighborhood is included with the Community Transformation Certificate and is the same as the targeted area in the URP from Section A above.
 The Community Quarterback Board has and the applicant has included letters and signatures from the following people:
1.  At least one-third must be residents of the Defined Neighborhood who self-certify their income at less than 80% of AMI, other individuals who self-certify their income at less than 80% of AMI, or elected representatives of neighborhood organizations serving the Defined Neighborhood: a)Kevin Davis b) Michael H Lott
2.  At least one third include 3 of 5 following representatives: a) Education - Morris Leis, School Superintendent Coffee County Schools b) Employment - None at this time
c) Health services-Ben Floyd, Hospital Administrator Coffee Regional Medical Center d) Transportation services-None at this time e) Local Government-Christian Burkett, City of Douglas and member of City of Douglas GICH team.
 The applicant has also included a letter from the GICH supporting the Community Quarterback Board.
 The applicant qualifies for 3 points in Section B
Section C
 Third Party Capital Investment - The Applicant has over $9 million of costs within a one-mile radius.  This equates to over $187,000 per unit in costs which qualifies for 2 points
 Financials Commitment - The local government’s financial commitment of $8,354,380.34 qualifies Pinecrest Village for one (1) additional revitalization point because the financial commitment advances the goals of the CRP and the total amounts are eligible for at least one point under Third-Party Capital Investments.
Please see all supporting documentation in the Revitalization/Redevelopment Plan folder.
</t>
  </si>
  <si>
    <t>Please see feasibilty folder for calculations of real estate taxes and insurance.</t>
  </si>
  <si>
    <t>As the low capture rate in the market study indicates, there is a strong demand for affordable housing in Douglas.  See the market study included int the Readiness to Proceed folder in the application.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</si>
  <si>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The partnership/applicant has site control via a purchase agreement and corresponding assignment.  Please see the Site Control documents in tab 8 (Readiness to Proceed).  The seller and the applicant are not related parties</t>
  </si>
  <si>
    <t>Max Elbe is the certifying GP/developer and received a "Qualified" determination.  The Project Team has not changed since pre-application.  Please see the Compliance Performance section for documenation as well as the performance workbooks for the members of the Project Team.</t>
  </si>
  <si>
    <t>The applicant's site is currently zoned R-M (Residential Mixed Family) accoridng to the official zoning map of the City of Douglas.  This designation allows for the construction and operation of multi-family apartment units in accordance with the Code of Ordinances of the City of Douglas.  See the Zoning Letter included in the Readiness to Proceed section of the application.</t>
  </si>
  <si>
    <t>Please see the schedule of values provided by Fairway Construction for detail of hard costs.
Consstruction Loan fee amount based on term sheet from Sterling Bank.1% of $10,900,000 = $109,000.</t>
  </si>
  <si>
    <t>Page ii and iii of the Phase 1 report state: "We have performed a Phase I Environmental Site Assessment in conformance with the scope and limitations of ASTM Practice E1527-21 of Pinecrest Village, the subject property. Any exceptions to, or deletions from, this practice are described in Section 1.2 of this report. This assessment has revealed no recognized environmental conditions, controlled recognized environmental conditions, or significant data gaps in connection with the subject property.</t>
  </si>
  <si>
    <t>The applicant has submitted 17 desirable activities which should qualifies the project for 28 desirable points.  However, the applicant is limited to only 20 points.  
The applicant is unaware of any undesirable/inefficient site activities/characteristics within .25 miles of the project site.  See the Desirable and Undesirable Folder in the application.
The project site does not fall within a food desert per USDA's website.  The nearest grocery store is located 0.90 miles from the project site.</t>
  </si>
  <si>
    <t>The State Limited Partner will contribute capital for the State Tax Credits at $.413 per credit.
The Federal Limited Partner and State Limited Partner will contribute capital for their respective shares of the Federal Tax Credits at $.80 per credit.
Note on Construction and Permanent Debt from Atlanta Neighborhood Development Partnership, Inc. - The source of this loan is capital magnet funds.</t>
  </si>
  <si>
    <t>The applicant will hire a part-time services manager in accordance with the QAP.</t>
  </si>
  <si>
    <t>Wetlands are on the property; however, the wetlands will not be impacted by our development.</t>
  </si>
  <si>
    <t xml:space="preserve">The Chief Executive Office of the Douglas-Coffee County Chamber of Commerce and Economic Development Authority signed a letter stating the following:
1. Industry of the project - food processing company
2. The number of jobs the project will generate - More than 90
3. Agreement executed between the authority and project - Pilgrim's Pride and the Authority signed a tax abatement agreement.
Per Google maps, the distance from the pedestrian entrance of the project and the project is less than 30 miles.
Please see the Economic Development Proximity folder for the letter and Google Map directions.
</t>
  </si>
  <si>
    <t>The applicant has secured a loan of Capital Magnet Funds from a certified CDFI lender, Atlanta Neighborhood Development Partnership, Inc.  The loan meets all of the pre-requisites above and the size of the loan enables the applicant to score 1 point in this section.</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</si>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</sst>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9" xr:uid="{9C099B45-D882-457E-84B8-24B00FFE608D}"/>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Pinecrest Village</v>
      </c>
    </row>
    <row r="3" spans="1:6" ht="15" customHeight="1">
      <c r="A3" s="654" t="str">
        <f>CONCATENATE('Part I-Project Identification'!F27,", ", 'Part I-Project Identification'!J27," County")</f>
        <v>Douglas, Coffee County</v>
      </c>
    </row>
    <row r="4" spans="1:6" ht="12" customHeight="1">
      <c r="A4" s="1062"/>
    </row>
    <row r="5" spans="1:6" ht="72" customHeight="1">
      <c r="A5" s="2906" t="s">
        <v>3972</v>
      </c>
      <c r="B5" s="2907" t="s">
        <v>3771</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27" zoomScaleNormal="100" workbookViewId="0">
      <selection activeCell="N236" sqref="N23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Pinecrest Village, Douglas, Coffee County</v>
      </c>
      <c r="B2" s="3514"/>
      <c r="C2" s="3514"/>
      <c r="D2" s="3514"/>
      <c r="E2" s="3514"/>
      <c r="F2" s="3514"/>
      <c r="G2" s="3514"/>
      <c r="H2" s="3514"/>
      <c r="I2" s="3514"/>
      <c r="J2" s="3514"/>
      <c r="K2" s="3514"/>
      <c r="L2" s="3514"/>
      <c r="M2" s="3514"/>
      <c r="N2" s="3514"/>
      <c r="O2" s="3514"/>
      <c r="P2" s="3514"/>
      <c r="Q2" s="3515"/>
      <c r="T2" s="1363" t="str">
        <f>A2</f>
        <v>PART FOUR - PROJECTED REVENUES &amp; EXPENSES  -  2024-0 Pinecrest Village, Douglas, Coffee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16" t="str">
        <f>'Part I-Project Identification'!$O$29</f>
        <v>Coffee Co.</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3118</v>
      </c>
      <c r="R5" s="817"/>
      <c r="S5" s="336"/>
      <c r="T5" s="336"/>
      <c r="U5" s="336"/>
      <c r="W5" s="337"/>
      <c r="X5" s="3455" t="s">
        <v>3560</v>
      </c>
      <c r="Y5" s="3455" t="s">
        <v>3561</v>
      </c>
      <c r="Z5" s="3455" t="s">
        <v>3562</v>
      </c>
      <c r="AA5" s="3455" t="s">
        <v>3563</v>
      </c>
      <c r="AB5" s="3455" t="s">
        <v>3564</v>
      </c>
      <c r="AC5" s="3455" t="s">
        <v>3565</v>
      </c>
      <c r="AD5" s="3455" t="s">
        <v>3566</v>
      </c>
      <c r="AE5" s="3455" t="s">
        <v>3567</v>
      </c>
      <c r="AF5" s="3455" t="s">
        <v>3568</v>
      </c>
      <c r="AG5" s="3455" t="s">
        <v>3569</v>
      </c>
      <c r="AH5" s="3455" t="s">
        <v>860</v>
      </c>
      <c r="AI5" s="3455" t="s">
        <v>704</v>
      </c>
      <c r="AJ5" s="3455" t="s">
        <v>705</v>
      </c>
      <c r="AK5" s="3455" t="s">
        <v>706</v>
      </c>
      <c r="AL5" s="3455" t="s">
        <v>707</v>
      </c>
      <c r="AM5" s="3455" t="s">
        <v>861</v>
      </c>
      <c r="AN5" s="3455" t="s">
        <v>2125</v>
      </c>
      <c r="AO5" s="3455" t="s">
        <v>2126</v>
      </c>
      <c r="AP5" s="3455" t="s">
        <v>2127</v>
      </c>
      <c r="AQ5" s="3455" t="s">
        <v>2128</v>
      </c>
      <c r="AR5" s="3455" t="s">
        <v>3571</v>
      </c>
      <c r="AS5" s="3455" t="s">
        <v>3572</v>
      </c>
      <c r="AT5" s="3455" t="s">
        <v>3573</v>
      </c>
      <c r="AU5" s="3455" t="s">
        <v>3574</v>
      </c>
      <c r="AV5" s="3455" t="s">
        <v>3570</v>
      </c>
      <c r="AW5" s="3455" t="s">
        <v>862</v>
      </c>
      <c r="AX5" s="3455" t="s">
        <v>2129</v>
      </c>
      <c r="AY5" s="3455" t="s">
        <v>2130</v>
      </c>
      <c r="AZ5" s="3455" t="s">
        <v>2131</v>
      </c>
      <c r="BA5" s="3455" t="s">
        <v>2132</v>
      </c>
      <c r="BB5" s="3455" t="s">
        <v>3575</v>
      </c>
      <c r="BC5" s="3455" t="s">
        <v>3576</v>
      </c>
      <c r="BD5" s="3455" t="s">
        <v>3577</v>
      </c>
      <c r="BE5" s="3455" t="s">
        <v>3578</v>
      </c>
      <c r="BF5" s="3455" t="s">
        <v>3579</v>
      </c>
      <c r="BG5" s="3455" t="s">
        <v>123</v>
      </c>
      <c r="BH5" s="3455" t="s">
        <v>2133</v>
      </c>
      <c r="BI5" s="3455" t="s">
        <v>2134</v>
      </c>
      <c r="BJ5" s="3455" t="s">
        <v>2135</v>
      </c>
      <c r="BK5" s="3455" t="s">
        <v>1079</v>
      </c>
      <c r="BL5" s="3455" t="s">
        <v>3580</v>
      </c>
      <c r="BM5" s="3455" t="s">
        <v>3581</v>
      </c>
      <c r="BN5" s="3455" t="s">
        <v>3582</v>
      </c>
      <c r="BO5" s="3455" t="s">
        <v>3583</v>
      </c>
      <c r="BP5" s="3455" t="s">
        <v>3584</v>
      </c>
      <c r="BQ5" s="3455" t="s">
        <v>516</v>
      </c>
      <c r="BR5" s="3455" t="s">
        <v>517</v>
      </c>
      <c r="BS5" s="3455" t="s">
        <v>534</v>
      </c>
      <c r="BT5" s="3455" t="s">
        <v>535</v>
      </c>
      <c r="BU5" s="3455" t="s">
        <v>536</v>
      </c>
      <c r="BV5" s="3455" t="s">
        <v>3585</v>
      </c>
      <c r="BW5" s="3455" t="s">
        <v>3586</v>
      </c>
      <c r="BX5" s="3455" t="s">
        <v>3587</v>
      </c>
      <c r="BY5" s="3455" t="s">
        <v>3588</v>
      </c>
      <c r="BZ5" s="3455" t="s">
        <v>3589</v>
      </c>
      <c r="CA5" s="3455" t="s">
        <v>537</v>
      </c>
      <c r="CB5" s="3455" t="s">
        <v>538</v>
      </c>
      <c r="CC5" s="3455" t="s">
        <v>539</v>
      </c>
      <c r="CD5" s="3455" t="s">
        <v>540</v>
      </c>
      <c r="CE5" s="3455" t="s">
        <v>541</v>
      </c>
      <c r="CF5" s="3455" t="s">
        <v>542</v>
      </c>
      <c r="CG5" s="3455" t="s">
        <v>543</v>
      </c>
      <c r="CH5" s="3455" t="s">
        <v>871</v>
      </c>
      <c r="CI5" s="3455" t="s">
        <v>872</v>
      </c>
      <c r="CJ5" s="3455" t="s">
        <v>873</v>
      </c>
      <c r="CK5" s="3455" t="s">
        <v>3595</v>
      </c>
      <c r="CL5" s="3455" t="s">
        <v>3596</v>
      </c>
      <c r="CM5" s="3455" t="s">
        <v>3597</v>
      </c>
      <c r="CN5" s="3455" t="s">
        <v>3598</v>
      </c>
      <c r="CO5" s="3455" t="s">
        <v>3599</v>
      </c>
      <c r="CP5" s="3455" t="s">
        <v>3590</v>
      </c>
      <c r="CQ5" s="3455" t="s">
        <v>3591</v>
      </c>
      <c r="CR5" s="3455" t="s">
        <v>3592</v>
      </c>
      <c r="CS5" s="3455" t="s">
        <v>3593</v>
      </c>
      <c r="CT5" s="3455" t="s">
        <v>3594</v>
      </c>
      <c r="CU5" s="3455" t="s">
        <v>3600</v>
      </c>
      <c r="CV5" s="3455" t="s">
        <v>3601</v>
      </c>
      <c r="CW5" s="3455" t="s">
        <v>3602</v>
      </c>
      <c r="CX5" s="3455" t="s">
        <v>3603</v>
      </c>
      <c r="CY5" s="3455" t="s">
        <v>3604</v>
      </c>
      <c r="CZ5" s="3455" t="s">
        <v>465</v>
      </c>
      <c r="DA5" s="3455" t="s">
        <v>466</v>
      </c>
      <c r="DB5" s="3455" t="s">
        <v>467</v>
      </c>
      <c r="DC5" s="3455" t="s">
        <v>468</v>
      </c>
      <c r="DD5" s="3455" t="s">
        <v>469</v>
      </c>
      <c r="DE5" s="3455" t="s">
        <v>3605</v>
      </c>
      <c r="DF5" s="3455" t="s">
        <v>3606</v>
      </c>
      <c r="DG5" s="3455" t="s">
        <v>3607</v>
      </c>
      <c r="DH5" s="3455" t="s">
        <v>3608</v>
      </c>
      <c r="DI5" s="3455" t="s">
        <v>3609</v>
      </c>
      <c r="DJ5" s="3455" t="s">
        <v>821</v>
      </c>
      <c r="DK5" s="3455" t="s">
        <v>822</v>
      </c>
      <c r="DL5" s="3455" t="s">
        <v>823</v>
      </c>
      <c r="DM5" s="3455" t="s">
        <v>824</v>
      </c>
      <c r="DN5" s="3455" t="s">
        <v>825</v>
      </c>
      <c r="DO5" s="3455" t="s">
        <v>826</v>
      </c>
      <c r="DP5" s="3455" t="s">
        <v>827</v>
      </c>
      <c r="DQ5" s="3455" t="s">
        <v>828</v>
      </c>
      <c r="DR5" s="3455" t="s">
        <v>829</v>
      </c>
      <c r="DS5" s="3455" t="s">
        <v>830</v>
      </c>
      <c r="DT5" s="3455" t="s">
        <v>3610</v>
      </c>
      <c r="DU5" s="3455" t="s">
        <v>3611</v>
      </c>
      <c r="DV5" s="3455" t="s">
        <v>3612</v>
      </c>
      <c r="DW5" s="3455" t="s">
        <v>3613</v>
      </c>
      <c r="DX5" s="3455" t="s">
        <v>3614</v>
      </c>
      <c r="DY5" s="3455" t="s">
        <v>3615</v>
      </c>
      <c r="DZ5" s="3455" t="s">
        <v>3616</v>
      </c>
      <c r="EA5" s="3455" t="s">
        <v>3617</v>
      </c>
      <c r="EB5" s="3455" t="s">
        <v>3618</v>
      </c>
      <c r="EC5" s="3455" t="s">
        <v>3619</v>
      </c>
      <c r="ED5" s="3455" t="s">
        <v>2229</v>
      </c>
      <c r="EE5" s="3455" t="s">
        <v>2230</v>
      </c>
      <c r="EF5" s="3455" t="s">
        <v>2231</v>
      </c>
      <c r="EG5" s="3455" t="s">
        <v>2232</v>
      </c>
      <c r="EH5" s="3455" t="s">
        <v>2233</v>
      </c>
      <c r="EI5" s="3455" t="s">
        <v>3620</v>
      </c>
      <c r="EJ5" s="3455" t="s">
        <v>3621</v>
      </c>
      <c r="EK5" s="3455" t="s">
        <v>3622</v>
      </c>
      <c r="EL5" s="3455" t="s">
        <v>3623</v>
      </c>
      <c r="EM5" s="3455" t="s">
        <v>3624</v>
      </c>
      <c r="EN5" s="3455" t="s">
        <v>3625</v>
      </c>
      <c r="EO5" s="3455" t="s">
        <v>3626</v>
      </c>
      <c r="EP5" s="3455" t="s">
        <v>3627</v>
      </c>
      <c r="EQ5" s="3455" t="s">
        <v>3628</v>
      </c>
      <c r="ER5" s="3455" t="s">
        <v>3629</v>
      </c>
      <c r="ES5" s="3455" t="s">
        <v>111</v>
      </c>
      <c r="ET5" s="3455" t="s">
        <v>1082</v>
      </c>
      <c r="EU5" s="3455" t="s">
        <v>1083</v>
      </c>
      <c r="EV5" s="3455" t="s">
        <v>1138</v>
      </c>
      <c r="EW5" s="3455" t="s">
        <v>1139</v>
      </c>
      <c r="EX5" s="3455" t="s">
        <v>126</v>
      </c>
      <c r="EY5" s="3455" t="s">
        <v>1140</v>
      </c>
      <c r="EZ5" s="3455" t="s">
        <v>1141</v>
      </c>
      <c r="FA5" s="3455" t="s">
        <v>1142</v>
      </c>
      <c r="FB5" s="3455" t="s">
        <v>1143</v>
      </c>
      <c r="FC5" s="3455" t="s">
        <v>3630</v>
      </c>
      <c r="FD5" s="3455" t="s">
        <v>3631</v>
      </c>
      <c r="FE5" s="3455" t="s">
        <v>3632</v>
      </c>
      <c r="FF5" s="3455" t="s">
        <v>3633</v>
      </c>
      <c r="FG5" s="3455" t="s">
        <v>3634</v>
      </c>
      <c r="FH5" s="3455" t="s">
        <v>125</v>
      </c>
      <c r="FI5" s="3455" t="s">
        <v>852</v>
      </c>
      <c r="FJ5" s="3455" t="s">
        <v>853</v>
      </c>
      <c r="FK5" s="3455" t="s">
        <v>854</v>
      </c>
      <c r="FL5" s="3455" t="s">
        <v>855</v>
      </c>
      <c r="FM5" s="3455" t="s">
        <v>3635</v>
      </c>
      <c r="FN5" s="3455" t="s">
        <v>3636</v>
      </c>
      <c r="FO5" s="3455" t="s">
        <v>3637</v>
      </c>
      <c r="FP5" s="3455" t="s">
        <v>3638</v>
      </c>
      <c r="FQ5" s="3455" t="s">
        <v>3639</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3995</v>
      </c>
      <c r="D6" s="1430"/>
      <c r="E6" s="1430"/>
      <c r="F6" s="1430"/>
      <c r="G6" s="1152" t="s">
        <v>194</v>
      </c>
      <c r="H6" s="3526" t="s">
        <v>3997</v>
      </c>
      <c r="I6" s="3527"/>
      <c r="J6" s="3527"/>
      <c r="K6" s="674" t="s">
        <v>3050</v>
      </c>
      <c r="L6" s="3528" t="str">
        <f>'Part I-Project Identification'!$A$6</f>
        <v>2024 May 7</v>
      </c>
      <c r="M6" s="3528"/>
      <c r="N6" s="3528"/>
      <c r="O6" s="1629" t="s">
        <v>3977</v>
      </c>
      <c r="P6" s="1420">
        <v>38700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4177</v>
      </c>
      <c r="MQ6" s="3461" t="s">
        <v>4178</v>
      </c>
      <c r="MR6" s="3461" t="s">
        <v>4179</v>
      </c>
      <c r="MS6" s="3461" t="s">
        <v>4180</v>
      </c>
      <c r="MT6" s="3461"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3996</v>
      </c>
      <c r="E7" s="4"/>
      <c r="G7" s="1187" t="s">
        <v>2644</v>
      </c>
      <c r="I7" s="3529" t="s">
        <v>3939</v>
      </c>
      <c r="J7" s="674" t="s">
        <v>741</v>
      </c>
      <c r="K7" s="674" t="s">
        <v>3097</v>
      </c>
      <c r="L7" s="3528"/>
      <c r="M7" s="3528"/>
      <c r="N7" s="3528"/>
      <c r="O7" s="1630" t="s">
        <v>3976</v>
      </c>
      <c r="P7" s="1458">
        <v>45383</v>
      </c>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3642</v>
      </c>
      <c r="C8" s="1"/>
      <c r="E8" s="1"/>
      <c r="F8" s="1"/>
      <c r="I8" s="3529"/>
      <c r="J8" s="674" t="s">
        <v>742</v>
      </c>
      <c r="K8" s="674" t="s">
        <v>3098</v>
      </c>
      <c r="L8" s="655"/>
      <c r="M8" s="655"/>
      <c r="N8" s="1628" t="s">
        <v>4376</v>
      </c>
      <c r="O8" s="3532" t="s">
        <v>5137</v>
      </c>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3643</v>
      </c>
      <c r="C9" s="674" t="s">
        <v>165</v>
      </c>
      <c r="D9" s="674" t="s">
        <v>509</v>
      </c>
      <c r="E9" s="674" t="s">
        <v>1380</v>
      </c>
      <c r="F9" s="674" t="s">
        <v>1380</v>
      </c>
      <c r="G9" s="3529" t="s">
        <v>3992</v>
      </c>
      <c r="H9" s="817" t="s">
        <v>3216</v>
      </c>
      <c r="I9" s="3529"/>
      <c r="J9" s="3534" t="s">
        <v>3986</v>
      </c>
      <c r="K9" s="674" t="s">
        <v>2211</v>
      </c>
      <c r="L9" s="3536" t="s">
        <v>139</v>
      </c>
      <c r="M9" s="3537"/>
      <c r="N9" s="674" t="s">
        <v>2178</v>
      </c>
      <c r="O9" s="674" t="s">
        <v>4379</v>
      </c>
      <c r="P9" s="3538" t="s">
        <v>4141</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4182</v>
      </c>
      <c r="IZ9" s="3455" t="s">
        <v>4182</v>
      </c>
      <c r="JA9" s="3455" t="s">
        <v>4182</v>
      </c>
      <c r="JB9" s="3455" t="s">
        <v>4182</v>
      </c>
      <c r="JC9" s="3455" t="s">
        <v>4182</v>
      </c>
      <c r="JD9" s="3455" t="s">
        <v>4183</v>
      </c>
      <c r="JE9" s="3455" t="s">
        <v>4183</v>
      </c>
      <c r="JF9" s="3455" t="s">
        <v>4183</v>
      </c>
      <c r="JG9" s="3455" t="s">
        <v>4183</v>
      </c>
      <c r="JH9" s="3455" t="s">
        <v>4183</v>
      </c>
      <c r="JI9" s="3455" t="s">
        <v>4185</v>
      </c>
      <c r="JJ9" s="3455" t="s">
        <v>4185</v>
      </c>
      <c r="JK9" s="3455" t="s">
        <v>4185</v>
      </c>
      <c r="JL9" s="3455" t="s">
        <v>4185</v>
      </c>
      <c r="JM9" s="3455" t="s">
        <v>4185</v>
      </c>
      <c r="JN9" s="3455" t="s">
        <v>4186</v>
      </c>
      <c r="JO9" s="3455" t="s">
        <v>4186</v>
      </c>
      <c r="JP9" s="3455" t="s">
        <v>4186</v>
      </c>
      <c r="JQ9" s="3455" t="s">
        <v>4186</v>
      </c>
      <c r="JR9" s="3455" t="s">
        <v>4186</v>
      </c>
      <c r="JS9" s="3455" t="s">
        <v>4187</v>
      </c>
      <c r="JT9" s="3455" t="s">
        <v>4187</v>
      </c>
      <c r="JU9" s="3455" t="s">
        <v>4187</v>
      </c>
      <c r="JV9" s="3455" t="s">
        <v>4187</v>
      </c>
      <c r="JW9" s="3455" t="s">
        <v>4187</v>
      </c>
      <c r="JX9" s="3455" t="s">
        <v>4380</v>
      </c>
      <c r="JY9" s="3455" t="s">
        <v>4380</v>
      </c>
      <c r="JZ9" s="3455" t="s">
        <v>4380</v>
      </c>
      <c r="KA9" s="3455" t="s">
        <v>4380</v>
      </c>
      <c r="KB9" s="3455" t="s">
        <v>4380</v>
      </c>
      <c r="KC9" s="3455" t="s">
        <v>4830</v>
      </c>
      <c r="KD9" s="3455" t="s">
        <v>4830</v>
      </c>
      <c r="KE9" s="3455" t="s">
        <v>4830</v>
      </c>
      <c r="KF9" s="3455" t="s">
        <v>4830</v>
      </c>
      <c r="KG9" s="3455" t="s">
        <v>4830</v>
      </c>
      <c r="KH9" s="3455" t="s">
        <v>4831</v>
      </c>
      <c r="KI9" s="3461" t="s">
        <v>4543</v>
      </c>
      <c r="KJ9" s="3461" t="s">
        <v>4543</v>
      </c>
      <c r="KK9" s="3461" t="s">
        <v>4543</v>
      </c>
      <c r="KL9" s="3461" t="s">
        <v>4543</v>
      </c>
      <c r="KM9" s="3461" t="s">
        <v>4189</v>
      </c>
      <c r="KN9" s="3461" t="s">
        <v>4189</v>
      </c>
      <c r="KO9" s="3461" t="s">
        <v>4189</v>
      </c>
      <c r="KP9" s="3461" t="s">
        <v>4189</v>
      </c>
      <c r="KQ9" s="3461" t="s">
        <v>4189</v>
      </c>
      <c r="KR9" s="3461" t="s">
        <v>4381</v>
      </c>
      <c r="KS9" s="3461" t="s">
        <v>4381</v>
      </c>
      <c r="KT9" s="3461" t="s">
        <v>4381</v>
      </c>
      <c r="KU9" s="3461" t="s">
        <v>4381</v>
      </c>
      <c r="KV9" s="3461" t="s">
        <v>4381</v>
      </c>
      <c r="KW9" s="3461" t="s">
        <v>4544</v>
      </c>
      <c r="KX9" s="3461" t="s">
        <v>4544</v>
      </c>
      <c r="KY9" s="3461" t="s">
        <v>4544</v>
      </c>
      <c r="KZ9" s="3461" t="s">
        <v>4544</v>
      </c>
      <c r="LA9" s="3461" t="s">
        <v>4544</v>
      </c>
      <c r="LB9" s="3461" t="s">
        <v>4545</v>
      </c>
      <c r="LC9" s="3461" t="s">
        <v>4545</v>
      </c>
      <c r="LD9" s="3461" t="s">
        <v>4545</v>
      </c>
      <c r="LE9" s="3461" t="s">
        <v>4545</v>
      </c>
      <c r="LF9" s="3461" t="s">
        <v>4545</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3806</v>
      </c>
      <c r="C10" s="674" t="s">
        <v>164</v>
      </c>
      <c r="D10" s="674" t="s">
        <v>166</v>
      </c>
      <c r="E10" s="674" t="s">
        <v>1381</v>
      </c>
      <c r="F10" s="674" t="s">
        <v>1201</v>
      </c>
      <c r="G10" s="3530"/>
      <c r="H10" s="674" t="s">
        <v>3993</v>
      </c>
      <c r="I10" s="3530"/>
      <c r="J10" s="3535"/>
      <c r="K10" s="357" t="s">
        <v>334</v>
      </c>
      <c r="L10" s="674" t="s">
        <v>1430</v>
      </c>
      <c r="M10" s="674" t="s">
        <v>503</v>
      </c>
      <c r="N10" s="674" t="s">
        <v>1380</v>
      </c>
      <c r="O10" s="674" t="s">
        <v>4393</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 customHeight="1">
      <c r="A18" s="86" t="str">
        <f t="shared" si="0"/>
        <v/>
      </c>
      <c r="B18" s="1059">
        <v>50</v>
      </c>
      <c r="C18" s="1024">
        <v>1</v>
      </c>
      <c r="D18" s="1663">
        <v>1</v>
      </c>
      <c r="E18" s="1025">
        <v>3</v>
      </c>
      <c r="F18" s="1025">
        <v>708</v>
      </c>
      <c r="G18" s="1025">
        <v>726</v>
      </c>
      <c r="H18" s="1025">
        <v>648</v>
      </c>
      <c r="I18" s="1025">
        <v>0</v>
      </c>
      <c r="J18" s="1041">
        <f>IF(C18="",0,HLOOKUP(C18,'Part IV-Utility Allowances'!$I$11:$M$22,12))</f>
        <v>123</v>
      </c>
      <c r="K18" s="1042"/>
      <c r="L18" s="1043">
        <f t="shared" si="1"/>
        <v>525</v>
      </c>
      <c r="M18" s="1043">
        <f t="shared" si="2"/>
        <v>1575</v>
      </c>
      <c r="N18" s="1044" t="s">
        <v>2644</v>
      </c>
      <c r="O18" s="1597" t="s">
        <v>4188</v>
      </c>
      <c r="P18" s="1044" t="s">
        <v>2114</v>
      </c>
      <c r="Q18" s="1045" t="s">
        <v>2644</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3</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2124</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3</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3</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3</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3</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 customHeight="1">
      <c r="A19" s="86" t="str">
        <f t="shared" si="0"/>
        <v/>
      </c>
      <c r="B19" s="1060">
        <v>50</v>
      </c>
      <c r="C19" s="132">
        <v>2</v>
      </c>
      <c r="D19" s="1661">
        <v>2</v>
      </c>
      <c r="E19" s="133">
        <v>13</v>
      </c>
      <c r="F19" s="133">
        <v>943</v>
      </c>
      <c r="G19" s="133">
        <v>871</v>
      </c>
      <c r="H19" s="133">
        <v>778</v>
      </c>
      <c r="I19" s="133">
        <v>0</v>
      </c>
      <c r="J19" s="743">
        <f>IF(C19="",0,HLOOKUP(C19,'Part IV-Utility Allowances'!$I$11:$M$22,12))</f>
        <v>153</v>
      </c>
      <c r="K19" s="632"/>
      <c r="L19" s="460">
        <f t="shared" si="1"/>
        <v>625</v>
      </c>
      <c r="M19" s="460">
        <f t="shared" si="2"/>
        <v>8125</v>
      </c>
      <c r="N19" s="683" t="s">
        <v>2644</v>
      </c>
      <c r="O19" s="1595" t="s">
        <v>4188</v>
      </c>
      <c r="P19" s="683" t="s">
        <v>2114</v>
      </c>
      <c r="Q19" s="134" t="s">
        <v>2644</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f t="shared" si="20"/>
        <v>13</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f t="shared" si="135"/>
        <v>12259</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13</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13</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f t="shared" si="260"/>
        <v>13</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13</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 customHeight="1">
      <c r="A20" s="86" t="str">
        <f t="shared" si="0"/>
        <v/>
      </c>
      <c r="B20" s="1060">
        <v>50</v>
      </c>
      <c r="C20" s="132">
        <v>3</v>
      </c>
      <c r="D20" s="1661">
        <v>2</v>
      </c>
      <c r="E20" s="133">
        <v>10</v>
      </c>
      <c r="F20" s="133">
        <v>1122</v>
      </c>
      <c r="G20" s="133">
        <v>1006</v>
      </c>
      <c r="H20" s="133">
        <v>895</v>
      </c>
      <c r="I20" s="133">
        <v>0</v>
      </c>
      <c r="J20" s="743">
        <f>IF(C20="",0,HLOOKUP(C20,'Part IV-Utility Allowances'!$I$11:$M$22,12))</f>
        <v>185</v>
      </c>
      <c r="K20" s="632"/>
      <c r="L20" s="460">
        <f t="shared" si="1"/>
        <v>710</v>
      </c>
      <c r="M20" s="460">
        <f t="shared" si="2"/>
        <v>7100</v>
      </c>
      <c r="N20" s="683" t="s">
        <v>2644</v>
      </c>
      <c r="O20" s="1595" t="s">
        <v>4188</v>
      </c>
      <c r="P20" s="683" t="s">
        <v>2114</v>
      </c>
      <c r="Q20" s="134" t="s">
        <v>2644</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f t="shared" si="21"/>
        <v>10</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f t="shared" si="136"/>
        <v>11220</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f t="shared" si="171"/>
        <v>10</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f t="shared" si="216"/>
        <v>10</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f t="shared" si="261"/>
        <v>10</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0</v>
      </c>
      <c r="MN20" s="1658">
        <f t="shared" si="336"/>
        <v>10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 customHeight="1">
      <c r="A21" s="86" t="str">
        <f t="shared" si="0"/>
        <v/>
      </c>
      <c r="B21" s="1060">
        <v>60</v>
      </c>
      <c r="C21" s="132">
        <v>1</v>
      </c>
      <c r="D21" s="1661">
        <v>1</v>
      </c>
      <c r="E21" s="133">
        <v>1</v>
      </c>
      <c r="F21" s="133">
        <v>708</v>
      </c>
      <c r="G21" s="133">
        <v>871</v>
      </c>
      <c r="H21" s="133">
        <v>723</v>
      </c>
      <c r="I21" s="133">
        <v>0</v>
      </c>
      <c r="J21" s="743">
        <f>IF(C21="",0,HLOOKUP(C21,'Part IV-Utility Allowances'!$I$11:$M$22,12))</f>
        <v>123</v>
      </c>
      <c r="K21" s="632"/>
      <c r="L21" s="460">
        <f t="shared" si="1"/>
        <v>600</v>
      </c>
      <c r="M21" s="460">
        <f t="shared" si="2"/>
        <v>600</v>
      </c>
      <c r="N21" s="683" t="s">
        <v>2644</v>
      </c>
      <c r="O21" s="1595" t="s">
        <v>4188</v>
      </c>
      <c r="P21" s="683" t="s">
        <v>2114</v>
      </c>
      <c r="Q21" s="134" t="s">
        <v>2644</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f t="shared" si="14"/>
        <v>1</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f t="shared" si="129"/>
        <v>708</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f t="shared" si="169"/>
        <v>1</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f t="shared" si="214"/>
        <v>1</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f t="shared" si="259"/>
        <v>1</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1</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 customHeight="1">
      <c r="A22" s="86" t="str">
        <f t="shared" si="0"/>
        <v/>
      </c>
      <c r="B22" s="1060">
        <v>60</v>
      </c>
      <c r="C22" s="132">
        <v>2</v>
      </c>
      <c r="D22" s="1661">
        <v>2</v>
      </c>
      <c r="E22" s="133">
        <v>3</v>
      </c>
      <c r="F22" s="133">
        <v>943</v>
      </c>
      <c r="G22" s="133">
        <v>1045</v>
      </c>
      <c r="H22" s="133">
        <v>853</v>
      </c>
      <c r="I22" s="133">
        <v>0</v>
      </c>
      <c r="J22" s="743">
        <f>IF(C22="",0,HLOOKUP(C22,'Part IV-Utility Allowances'!$I$11:$M$22,12))</f>
        <v>153</v>
      </c>
      <c r="K22" s="632"/>
      <c r="L22" s="460">
        <f t="shared" si="1"/>
        <v>700</v>
      </c>
      <c r="M22" s="460">
        <f t="shared" si="2"/>
        <v>2100</v>
      </c>
      <c r="N22" s="683" t="s">
        <v>2644</v>
      </c>
      <c r="O22" s="1595" t="s">
        <v>4188</v>
      </c>
      <c r="P22" s="683" t="s">
        <v>2114</v>
      </c>
      <c r="Q22" s="134" t="s">
        <v>2644</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3</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2829</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3</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3</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3</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3</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 customHeight="1">
      <c r="A23" s="86" t="str">
        <f t="shared" si="0"/>
        <v/>
      </c>
      <c r="B23" s="1060">
        <v>60</v>
      </c>
      <c r="C23" s="132">
        <v>3</v>
      </c>
      <c r="D23" s="1661">
        <v>2</v>
      </c>
      <c r="E23" s="133">
        <v>2</v>
      </c>
      <c r="F23" s="133">
        <v>1122</v>
      </c>
      <c r="G23" s="133">
        <v>1207</v>
      </c>
      <c r="H23" s="133">
        <v>985</v>
      </c>
      <c r="I23" s="133">
        <v>0</v>
      </c>
      <c r="J23" s="743">
        <f>IF(C23="",0,HLOOKUP(C23,'Part IV-Utility Allowances'!$I$11:$M$22,12))</f>
        <v>185</v>
      </c>
      <c r="K23" s="632"/>
      <c r="L23" s="460">
        <f t="shared" si="1"/>
        <v>800</v>
      </c>
      <c r="M23" s="460">
        <f t="shared" si="2"/>
        <v>1600</v>
      </c>
      <c r="N23" s="683" t="s">
        <v>2644</v>
      </c>
      <c r="O23" s="1595" t="s">
        <v>4188</v>
      </c>
      <c r="P23" s="683" t="s">
        <v>2114</v>
      </c>
      <c r="Q23" s="134" t="s">
        <v>2644</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f t="shared" si="16"/>
        <v>2</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f t="shared" si="131"/>
        <v>2244</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f t="shared" si="171"/>
        <v>2</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f t="shared" si="216"/>
        <v>2</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f t="shared" si="261"/>
        <v>2</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2</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 customHeight="1">
      <c r="A24" s="86" t="str">
        <f t="shared" si="0"/>
        <v/>
      </c>
      <c r="B24" s="1060">
        <v>70</v>
      </c>
      <c r="C24" s="132">
        <v>1</v>
      </c>
      <c r="D24" s="1661">
        <v>1</v>
      </c>
      <c r="E24" s="133">
        <v>2</v>
      </c>
      <c r="F24" s="133">
        <v>708</v>
      </c>
      <c r="G24" s="133">
        <v>1016</v>
      </c>
      <c r="H24" s="133">
        <v>798</v>
      </c>
      <c r="I24" s="133">
        <v>0</v>
      </c>
      <c r="J24" s="743">
        <f>IF(C24="",0,HLOOKUP(C24,'Part IV-Utility Allowances'!$I$11:$M$22,12))</f>
        <v>123</v>
      </c>
      <c r="K24" s="632"/>
      <c r="L24" s="460">
        <f t="shared" si="1"/>
        <v>675</v>
      </c>
      <c r="M24" s="460">
        <f t="shared" si="2"/>
        <v>1350</v>
      </c>
      <c r="N24" s="683" t="s">
        <v>2644</v>
      </c>
      <c r="O24" s="1595" t="s">
        <v>4188</v>
      </c>
      <c r="P24" s="683" t="s">
        <v>2114</v>
      </c>
      <c r="Q24" s="134" t="s">
        <v>2644</v>
      </c>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f t="shared" si="9"/>
        <v>2</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f t="shared" si="124"/>
        <v>1416</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f t="shared" si="169"/>
        <v>2</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f t="shared" si="214"/>
        <v>2</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f t="shared" si="259"/>
        <v>2</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2</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 customHeight="1">
      <c r="A25" s="86" t="str">
        <f t="shared" si="0"/>
        <v/>
      </c>
      <c r="B25" s="1060">
        <v>70</v>
      </c>
      <c r="C25" s="132">
        <v>2</v>
      </c>
      <c r="D25" s="1661">
        <v>2</v>
      </c>
      <c r="E25" s="133">
        <v>8</v>
      </c>
      <c r="F25" s="133">
        <v>943</v>
      </c>
      <c r="G25" s="133">
        <v>1219</v>
      </c>
      <c r="H25" s="133">
        <v>928</v>
      </c>
      <c r="I25" s="133">
        <v>0</v>
      </c>
      <c r="J25" s="743">
        <f>IF(C25="",0,HLOOKUP(C25,'Part IV-Utility Allowances'!$I$11:$M$22,12))</f>
        <v>153</v>
      </c>
      <c r="K25" s="632"/>
      <c r="L25" s="460">
        <f t="shared" si="1"/>
        <v>775</v>
      </c>
      <c r="M25" s="460">
        <f t="shared" si="2"/>
        <v>6200</v>
      </c>
      <c r="N25" s="683" t="s">
        <v>2644</v>
      </c>
      <c r="O25" s="1595" t="s">
        <v>4188</v>
      </c>
      <c r="P25" s="683" t="s">
        <v>2114</v>
      </c>
      <c r="Q25" s="134" t="s">
        <v>2644</v>
      </c>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f t="shared" si="10"/>
        <v>8</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f t="shared" si="125"/>
        <v>7544</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f t="shared" si="170"/>
        <v>8</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f t="shared" si="215"/>
        <v>8</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f t="shared" si="260"/>
        <v>8</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8</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 customHeight="1">
      <c r="A26" s="86" t="str">
        <f t="shared" si="0"/>
        <v/>
      </c>
      <c r="B26" s="1060">
        <v>70</v>
      </c>
      <c r="C26" s="132">
        <v>3</v>
      </c>
      <c r="D26" s="1661">
        <v>2</v>
      </c>
      <c r="E26" s="133">
        <v>6</v>
      </c>
      <c r="F26" s="133">
        <v>1122</v>
      </c>
      <c r="G26" s="133">
        <v>1408</v>
      </c>
      <c r="H26" s="133">
        <v>1060</v>
      </c>
      <c r="I26" s="133">
        <v>0</v>
      </c>
      <c r="J26" s="743">
        <f>IF(C26="",0,HLOOKUP(C26,'Part IV-Utility Allowances'!$I$11:$M$22,12))</f>
        <v>185</v>
      </c>
      <c r="K26" s="632"/>
      <c r="L26" s="460">
        <f t="shared" si="1"/>
        <v>875</v>
      </c>
      <c r="M26" s="460">
        <f t="shared" si="2"/>
        <v>5250</v>
      </c>
      <c r="N26" s="683" t="s">
        <v>2644</v>
      </c>
      <c r="O26" s="1595" t="s">
        <v>4188</v>
      </c>
      <c r="P26" s="683" t="s">
        <v>2114</v>
      </c>
      <c r="Q26" s="134" t="s">
        <v>2644</v>
      </c>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f t="shared" si="11"/>
        <v>6</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f t="shared" si="126"/>
        <v>6732</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f t="shared" si="171"/>
        <v>6</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f t="shared" si="216"/>
        <v>6</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f t="shared" si="261"/>
        <v>6</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6</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 customHeight="1">
      <c r="A49" s="1368">
        <f>COUNT(A11,A12,A13,A14,A15,A16,A17,A18,A19,A20,A21,A22,A23,A24,A25,A26,A27,A28,A29,A30,A31,A32,A33,A34,A35,A36,A37,A38,A39,A40)</f>
        <v>0</v>
      </c>
      <c r="B49" s="3463" t="s">
        <v>3647</v>
      </c>
      <c r="C49" s="3464"/>
      <c r="D49" s="107" t="s">
        <v>953</v>
      </c>
      <c r="E49" s="1054">
        <f>SUM(E11:E48)</f>
        <v>48</v>
      </c>
      <c r="F49" s="1052">
        <f>(E11*F11+E12*F12+E13*F13+E14*F14+E15*F15+E16*F16+E17*F17+E18*F18+E19*F19+E20*F20+E21*F21+E22*F22+E23*F23+E24*F24+E25*F25+E26*F26+E27*F27+E28*F28+E29*F29+E30*F30+E31*F31+E32*F32+E33*F33+E34*F34+E35*F35+E36*F36+E37*F37+E38*F38+E39*F39+E40*F40+E41*F41+E42*F42+E43*F43+E44*F44+E45*F45+E46*F46+E47*F47+E48*F48)</f>
        <v>47076</v>
      </c>
      <c r="H49" s="3468" t="s">
        <v>3644</v>
      </c>
      <c r="I49" s="1055" t="s">
        <v>3645</v>
      </c>
      <c r="J49" s="1056" t="str">
        <f>IF(P67=0,"",IF(SUM(P58:P62)/P67&gt;=0.4,"Pass","Fail"))</f>
        <v>Pass</v>
      </c>
      <c r="K49" s="447"/>
      <c r="L49" s="687" t="s">
        <v>1223</v>
      </c>
      <c r="M49" s="94">
        <f>SUM(M11:M48)</f>
        <v>33900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2</v>
      </c>
      <c r="AE49" s="1659">
        <f t="shared" si="338"/>
        <v>8</v>
      </c>
      <c r="AF49" s="1659">
        <f t="shared" si="338"/>
        <v>6</v>
      </c>
      <c r="AG49" s="1659">
        <f t="shared" si="338"/>
        <v>0</v>
      </c>
      <c r="AH49" s="1659">
        <f t="shared" si="338"/>
        <v>0</v>
      </c>
      <c r="AI49" s="1659">
        <f t="shared" si="338"/>
        <v>1</v>
      </c>
      <c r="AJ49" s="1659">
        <f t="shared" si="338"/>
        <v>3</v>
      </c>
      <c r="AK49" s="1659">
        <f t="shared" si="338"/>
        <v>2</v>
      </c>
      <c r="AL49" s="1659">
        <f t="shared" si="338"/>
        <v>0</v>
      </c>
      <c r="AM49" s="1659">
        <f>SUM(AM11:AM48)</f>
        <v>0</v>
      </c>
      <c r="AN49" s="1659">
        <f>SUM(AN11:AN48)</f>
        <v>3</v>
      </c>
      <c r="AO49" s="1659">
        <f>SUM(AO11:AO48)</f>
        <v>13</v>
      </c>
      <c r="AP49" s="1659">
        <f>SUM(AP11:AP48)</f>
        <v>10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1416</v>
      </c>
      <c r="EP49" s="1659">
        <f t="shared" si="338"/>
        <v>7544</v>
      </c>
      <c r="EQ49" s="1659">
        <f t="shared" si="338"/>
        <v>6732</v>
      </c>
      <c r="ER49" s="1659">
        <f t="shared" si="338"/>
        <v>0</v>
      </c>
      <c r="ES49" s="1659">
        <f t="shared" si="338"/>
        <v>0</v>
      </c>
      <c r="ET49" s="1659">
        <f t="shared" si="338"/>
        <v>708</v>
      </c>
      <c r="EU49" s="1659">
        <f t="shared" si="338"/>
        <v>2829</v>
      </c>
      <c r="EV49" s="1659">
        <f t="shared" si="338"/>
        <v>2244</v>
      </c>
      <c r="EW49" s="1659">
        <f t="shared" si="338"/>
        <v>0</v>
      </c>
      <c r="EX49" s="1659">
        <f t="shared" si="338"/>
        <v>0</v>
      </c>
      <c r="EY49" s="1659">
        <f t="shared" si="338"/>
        <v>2124</v>
      </c>
      <c r="EZ49" s="1659">
        <f t="shared" si="338"/>
        <v>12259</v>
      </c>
      <c r="FA49" s="1659">
        <f t="shared" si="338"/>
        <v>11220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6</v>
      </c>
      <c r="GI49" s="1659">
        <f t="shared" si="340"/>
        <v>24</v>
      </c>
      <c r="GJ49" s="1659">
        <f t="shared" si="340"/>
        <v>18</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6</v>
      </c>
      <c r="IB49" s="1659">
        <f t="shared" si="341"/>
        <v>24</v>
      </c>
      <c r="IC49" s="1659">
        <f t="shared" si="341"/>
        <v>18</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6</v>
      </c>
      <c r="JU49" s="1659">
        <f t="shared" si="341"/>
        <v>24</v>
      </c>
      <c r="JV49" s="1659">
        <f t="shared" si="341"/>
        <v>18</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6</v>
      </c>
      <c r="MM49" s="1659">
        <f t="shared" si="343"/>
        <v>24</v>
      </c>
      <c r="MN49" s="1659">
        <f t="shared" si="343"/>
        <v>18</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 customHeight="1">
      <c r="B50" s="3470">
        <f>IF(SUM(E18:E48)=0,"",(B18*E18+B19*E19+B20*E20+B21*E21+B22*E22+B23*E23+B24*E24+B25*E25+B26*E26+B27*E27+B28*E28+B29*E29+B30*E30+B31*E31+B32*E32+B33*E33+B34*E34+B35*E35+B36*E36+B37*E37+B38*E38+B39*E39+B40*E40+B41*E41+B42*E42+B43*E43+B44*E44+B45*E45+B46*E46+B47*E47+B48*E48)/SUM(E18:E48))</f>
        <v>57.916666666666664</v>
      </c>
      <c r="C50" s="3471"/>
      <c r="D50" s="119" t="s">
        <v>3554</v>
      </c>
      <c r="E50" s="1051">
        <f>SUM(E18:E48)</f>
        <v>48</v>
      </c>
      <c r="F50" s="1053">
        <f>(E18*F18+E19*F19+E20*F20+E21*F21+E22*F22+E23*F23+E24*F24+E25*F25+E26*F26+E27*F27+E28*F28+E29*F29+E30*F30+E31*F31+E32*F32+E33*F33+E34*F34+E35*F35+E36*F36+E37*F37+E38*F38+E39*F39+E40*F40+E41*F41+E42*F42+E43*F43+E44*F44+E45*F45+E46*F46+E47*F47+E48*F48)</f>
        <v>47076</v>
      </c>
      <c r="H50" s="3469"/>
      <c r="I50" s="1057" t="s">
        <v>3646</v>
      </c>
      <c r="J50" s="1058" t="str">
        <f>IF(P67=0,"",IF(SUM(P59:P62)/P67&gt;=0.2,"Pass","Fail"))</f>
        <v>Pass</v>
      </c>
      <c r="K50" s="447"/>
      <c r="L50" s="107" t="s">
        <v>756</v>
      </c>
      <c r="M50" s="94">
        <f>M49*12</f>
        <v>406800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5" customHeight="1">
      <c r="A51" s="3472" t="s">
        <v>5024</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4536</v>
      </c>
      <c r="O53" s="3474" t="s">
        <v>3688</v>
      </c>
      <c r="P53" s="3475"/>
      <c r="S53" s="3542" t="str">
        <f>B53</f>
        <v>UNIT SUMMARY</v>
      </c>
      <c r="T53" s="3542"/>
      <c r="U53" s="3542"/>
      <c r="V53" s="3542"/>
      <c r="AY53" s="358"/>
      <c r="BD53" s="358"/>
      <c r="LO53" s="360"/>
      <c r="MD53" s="356"/>
      <c r="NQ53" s="2483">
        <v>53</v>
      </c>
    </row>
    <row r="54" spans="1:381" ht="14.25" customHeight="1">
      <c r="A54" s="10"/>
      <c r="B54" s="10"/>
      <c r="K54" s="144" t="s">
        <v>4538</v>
      </c>
      <c r="O54" s="3543" t="s">
        <v>5142</v>
      </c>
      <c r="P54" s="3544"/>
      <c r="S54" s="95"/>
      <c r="T54" s="95"/>
      <c r="U54" s="367"/>
      <c r="AY54" s="358"/>
      <c r="BD54" s="358"/>
      <c r="LO54" s="360"/>
      <c r="MD54" s="356"/>
      <c r="NQ54" s="2482">
        <v>54</v>
      </c>
    </row>
    <row r="55" spans="1:381" ht="14.65"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3944</v>
      </c>
      <c r="B56" s="3545"/>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46" t="s">
        <v>3099</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3556</v>
      </c>
      <c r="I57" s="29"/>
      <c r="J57" s="62"/>
      <c r="K57" s="1068">
        <f>AC49</f>
        <v>0</v>
      </c>
      <c r="L57" s="1069">
        <f>AD49</f>
        <v>2</v>
      </c>
      <c r="M57" s="1069">
        <f>AE49</f>
        <v>8</v>
      </c>
      <c r="N57" s="1069">
        <f>AF49</f>
        <v>6</v>
      </c>
      <c r="O57" s="1070">
        <f>AG49</f>
        <v>0</v>
      </c>
      <c r="P57" s="732">
        <f t="shared" si="344"/>
        <v>16</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1</v>
      </c>
      <c r="M58" s="1069">
        <f>AJ49</f>
        <v>3</v>
      </c>
      <c r="N58" s="1069">
        <f>AK49</f>
        <v>2</v>
      </c>
      <c r="O58" s="1070">
        <f>AL49</f>
        <v>0</v>
      </c>
      <c r="P58" s="732">
        <f t="shared" si="344"/>
        <v>6</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3</v>
      </c>
      <c r="M59" s="1090">
        <f>AO49</f>
        <v>13</v>
      </c>
      <c r="N59" s="1090">
        <f>AP49</f>
        <v>10</v>
      </c>
      <c r="O59" s="1091">
        <f>AQ49</f>
        <v>0</v>
      </c>
      <c r="P59" s="465">
        <f t="shared" si="344"/>
        <v>26</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3557</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3558</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3559</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3641</v>
      </c>
      <c r="D63" s="1"/>
      <c r="E63" s="1"/>
      <c r="F63" s="1"/>
      <c r="G63" s="62"/>
      <c r="H63" s="68"/>
      <c r="I63" s="44"/>
      <c r="J63" s="62"/>
      <c r="K63" s="1033">
        <f>SUM(K56:K62)</f>
        <v>0</v>
      </c>
      <c r="L63" s="1033">
        <f>SUM(L56:L62)</f>
        <v>6</v>
      </c>
      <c r="M63" s="1033">
        <f>SUM(M56:M62)</f>
        <v>24</v>
      </c>
      <c r="N63" s="1033">
        <f>SUM(N56:N62)</f>
        <v>18</v>
      </c>
      <c r="O63" s="1033">
        <f>SUM(O56:O62)</f>
        <v>0</v>
      </c>
      <c r="P63" s="1033">
        <f t="shared" si="344"/>
        <v>48</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6</v>
      </c>
      <c r="M65" s="1040">
        <f>SUM(M63:M64)</f>
        <v>24</v>
      </c>
      <c r="N65" s="1040">
        <f>SUM(N63:N64)</f>
        <v>18</v>
      </c>
      <c r="O65" s="1040">
        <f>SUM(O63:O64)</f>
        <v>0</v>
      </c>
      <c r="P65" s="1040">
        <f t="shared" si="344"/>
        <v>48</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6</v>
      </c>
      <c r="M67" s="1032">
        <f>SUM(M65:M66)</f>
        <v>24</v>
      </c>
      <c r="N67" s="1032">
        <f>SUM(N65:N66)</f>
        <v>18</v>
      </c>
      <c r="O67" s="1032">
        <f>SUM(O65:O66)</f>
        <v>0</v>
      </c>
      <c r="P67" s="1032">
        <f t="shared" si="344"/>
        <v>48</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3650</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45"/>
      <c r="B70" s="3545"/>
      <c r="C70" s="3547"/>
      <c r="D70" s="3547"/>
      <c r="E70" s="3547"/>
      <c r="F70" s="3547"/>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3937</v>
      </c>
      <c r="E73" s="3548"/>
      <c r="F73" s="3548"/>
      <c r="G73" s="6"/>
      <c r="H73" s="81" t="s">
        <v>3556</v>
      </c>
      <c r="I73" s="29"/>
      <c r="J73" s="1"/>
      <c r="K73" s="1372" t="str">
        <f t="shared" ref="K73:P73" si="347">IF(OR(K57=0,K67=0),"",K57/K67)</f>
        <v/>
      </c>
      <c r="L73" s="1373">
        <f t="shared" si="347"/>
        <v>0.33333333333333331</v>
      </c>
      <c r="M73" s="1373">
        <f t="shared" si="347"/>
        <v>0.33333333333333331</v>
      </c>
      <c r="N73" s="1373">
        <f t="shared" si="347"/>
        <v>0.33333333333333331</v>
      </c>
      <c r="O73" s="1373" t="str">
        <f t="shared" si="347"/>
        <v/>
      </c>
      <c r="P73" s="1374">
        <f t="shared" si="347"/>
        <v>0.33333333333333331</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4383</v>
      </c>
      <c r="I74" s="29"/>
      <c r="J74" s="1"/>
      <c r="K74" s="1424" t="str">
        <f>IF(OR(K57=0,P73="",K67=0),"",P73*K67)</f>
        <v/>
      </c>
      <c r="L74" s="1424">
        <f>IF(OR(L57=0,P73="",L67=0),"",P73*L67)</f>
        <v>2</v>
      </c>
      <c r="M74" s="1424">
        <f>IF(OR(M57=0,P73="",M67=0),"",P73*M67)</f>
        <v>8</v>
      </c>
      <c r="N74" s="1424">
        <f>IF(OR(N57=0,P73="",N67=0),"",P73*N67)</f>
        <v>6</v>
      </c>
      <c r="O74" s="1424" t="str">
        <f>IF(OR(O57=0,P73="",O67=0),"",P73*O67)</f>
        <v/>
      </c>
      <c r="P74" s="1425">
        <f>IF(OR(P73="",P67=0),"",P73*P67)</f>
        <v>16</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4384</v>
      </c>
      <c r="I75" s="1345"/>
      <c r="J75" s="1"/>
      <c r="K75" s="1426" t="str">
        <f t="shared" ref="K75:P75" si="348">IF(OR(K74="",K57=0),"", K57-K74)</f>
        <v/>
      </c>
      <c r="L75" s="1426">
        <f t="shared" si="348"/>
        <v>0</v>
      </c>
      <c r="M75" s="1426">
        <f t="shared" si="348"/>
        <v>0</v>
      </c>
      <c r="N75" s="1426">
        <f t="shared" si="348"/>
        <v>0</v>
      </c>
      <c r="O75" s="1426" t="str">
        <f t="shared" si="348"/>
        <v/>
      </c>
      <c r="P75" s="1426">
        <f t="shared" si="348"/>
        <v>0</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48"/>
      <c r="E76" s="3548"/>
      <c r="F76" s="3548"/>
      <c r="G76" s="6"/>
      <c r="H76" s="81" t="s">
        <v>1080</v>
      </c>
      <c r="I76" s="29"/>
      <c r="J76" s="1"/>
      <c r="K76" s="1372" t="str">
        <f t="shared" ref="K76:P76" si="349">IF(OR(K58=0,K67=0),"",K58/K67)</f>
        <v/>
      </c>
      <c r="L76" s="1373">
        <f t="shared" si="349"/>
        <v>0.16666666666666666</v>
      </c>
      <c r="M76" s="1373">
        <f t="shared" si="349"/>
        <v>0.125</v>
      </c>
      <c r="N76" s="1373">
        <f t="shared" si="349"/>
        <v>0.1111111111111111</v>
      </c>
      <c r="O76" s="1373" t="str">
        <f t="shared" si="349"/>
        <v/>
      </c>
      <c r="P76" s="1374">
        <f t="shared" si="349"/>
        <v>0.125</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4383</v>
      </c>
      <c r="I77" s="29"/>
      <c r="J77" s="1"/>
      <c r="K77" s="1424" t="str">
        <f>IF(OR(K58=0,P76="",K67=0),"",P76*K67)</f>
        <v/>
      </c>
      <c r="L77" s="1424">
        <f>IF(OR(L58=0,P76="",L67=0),"",P76*L67)</f>
        <v>0.75</v>
      </c>
      <c r="M77" s="1424">
        <f>IF(OR(M58=0,P76="",M67=0),"",P76*M67)</f>
        <v>3</v>
      </c>
      <c r="N77" s="1424">
        <f>IF(OR(N58=0,P76="",N67=0),"",P76*N67)</f>
        <v>2.25</v>
      </c>
      <c r="O77" s="1424" t="str">
        <f>IF(OR(O58=0,P76="",O67=0),"",P76*O67)</f>
        <v/>
      </c>
      <c r="P77" s="1425">
        <f>IF(OR(P76="",P67=0),"",P76*P67)</f>
        <v>6</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4384</v>
      </c>
      <c r="I78" s="1345"/>
      <c r="J78" s="1"/>
      <c r="K78" s="1426" t="str">
        <f t="shared" ref="K78:P78" si="350">IF(OR(K77="",K58=0),"", K58-K77)</f>
        <v/>
      </c>
      <c r="L78" s="1426">
        <f t="shared" si="350"/>
        <v>0.25</v>
      </c>
      <c r="M78" s="1426">
        <f t="shared" si="350"/>
        <v>0</v>
      </c>
      <c r="N78" s="1426">
        <f t="shared" si="350"/>
        <v>-0.25</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0.5</v>
      </c>
      <c r="M79" s="1373">
        <f t="shared" si="351"/>
        <v>0.54166666666666663</v>
      </c>
      <c r="N79" s="1373">
        <f t="shared" si="351"/>
        <v>0.55555555555555558</v>
      </c>
      <c r="O79" s="1373" t="str">
        <f t="shared" si="351"/>
        <v/>
      </c>
      <c r="P79" s="1374">
        <f t="shared" si="351"/>
        <v>0.54166666666666663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3.25</v>
      </c>
      <c r="M80" s="1424">
        <f>IF(OR(M59=0,P79="",M67=0),"",P79*M67)</f>
        <v>13</v>
      </c>
      <c r="N80" s="1424">
        <f>IF(OR(N59=0,P79="",N67=0),"",P79*N67)</f>
        <v>9.75</v>
      </c>
      <c r="O80" s="1424" t="str">
        <f>IF(OR(O59=0,P79="",O67=0),"",P79*O67)</f>
        <v/>
      </c>
      <c r="P80" s="1425">
        <f>IF(OR(P79="",P67=0),"",P79*P67)</f>
        <v>26</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-0.25</v>
      </c>
      <c r="M81" s="1426">
        <f t="shared" si="352"/>
        <v>0</v>
      </c>
      <c r="N81" s="1426">
        <f t="shared" si="352"/>
        <v>0.25</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3750</v>
      </c>
      <c r="H102" s="68"/>
      <c r="L102" s="3479" t="str">
        <f>O53</f>
        <v>Income Averaging</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7" t="s">
        <v>35</v>
      </c>
      <c r="D113" s="3457"/>
      <c r="E113" s="81" t="s">
        <v>4825</v>
      </c>
      <c r="F113" s="1"/>
      <c r="G113" s="62"/>
      <c r="H113" s="81" t="s">
        <v>1341</v>
      </c>
      <c r="I113" s="29"/>
      <c r="J113" s="62"/>
      <c r="K113" s="1065">
        <f>GG49</f>
        <v>0</v>
      </c>
      <c r="L113" s="1066">
        <f>GH49</f>
        <v>6</v>
      </c>
      <c r="M113" s="1066">
        <f>GI49</f>
        <v>24</v>
      </c>
      <c r="N113" s="1066">
        <f>GJ49</f>
        <v>18</v>
      </c>
      <c r="O113" s="1067">
        <f>GK49</f>
        <v>0</v>
      </c>
      <c r="P113" s="736">
        <f t="shared" ref="P113:P123" si="361">SUM(K113:O113)</f>
        <v>48</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4832</v>
      </c>
      <c r="J115" s="2096">
        <f>IF($P$67=0,0,P115/$P$67)</f>
        <v>1</v>
      </c>
      <c r="K115" s="1034">
        <f>SUM(K113:K114)+GQ49</f>
        <v>0</v>
      </c>
      <c r="L115" s="1034">
        <f>SUM(L113:L114)+GR49</f>
        <v>6</v>
      </c>
      <c r="M115" s="1034">
        <f>SUM(M113:M114)+GS49</f>
        <v>24</v>
      </c>
      <c r="N115" s="1034">
        <f>SUM(N113:N114)+GT49</f>
        <v>18</v>
      </c>
      <c r="O115" s="1034">
        <f>SUM(O113:O114)+GU49</f>
        <v>0</v>
      </c>
      <c r="P115" s="1034">
        <f t="shared" si="361"/>
        <v>48</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4832</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4832</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4826</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4824</v>
      </c>
      <c r="D127" s="3457"/>
      <c r="E127" s="81" t="s">
        <v>4764</v>
      </c>
      <c r="F127" s="1"/>
      <c r="G127" s="147"/>
      <c r="H127" s="87"/>
      <c r="I127" s="62"/>
      <c r="J127" s="62"/>
      <c r="K127" s="2460" t="s">
        <v>2641</v>
      </c>
      <c r="L127" s="72" t="s">
        <v>4827</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c r="L128" s="3457" t="s">
        <v>4828</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4388</v>
      </c>
      <c r="D131" s="3456"/>
      <c r="E131" s="895" t="s">
        <v>36</v>
      </c>
      <c r="F131" s="754"/>
      <c r="G131" s="896"/>
      <c r="H131" s="1378"/>
      <c r="I131" s="897"/>
      <c r="J131" s="898"/>
      <c r="K131" s="1086">
        <f t="shared" ref="K131:P131" si="362">SUM(K132:K139)</f>
        <v>0</v>
      </c>
      <c r="L131" s="1087">
        <f t="shared" si="362"/>
        <v>6</v>
      </c>
      <c r="M131" s="1087">
        <f t="shared" si="362"/>
        <v>24</v>
      </c>
      <c r="N131" s="1087">
        <f t="shared" si="362"/>
        <v>18</v>
      </c>
      <c r="O131" s="1088">
        <f t="shared" si="362"/>
        <v>0</v>
      </c>
      <c r="P131" s="1037">
        <f t="shared" si="362"/>
        <v>48</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4188</v>
      </c>
      <c r="I132" s="33"/>
      <c r="J132" s="899"/>
      <c r="K132" s="1068">
        <f>JS49</f>
        <v>0</v>
      </c>
      <c r="L132" s="1069">
        <f>JT49</f>
        <v>6</v>
      </c>
      <c r="M132" s="1069">
        <f>JU49</f>
        <v>24</v>
      </c>
      <c r="N132" s="1069">
        <f>JV49</f>
        <v>18</v>
      </c>
      <c r="O132" s="1070">
        <f>JW49</f>
        <v>0</v>
      </c>
      <c r="P132" s="732">
        <f t="shared" ref="P132:P147" si="363">SUM(K132:O132)</f>
        <v>48</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4375</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4190</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4382</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3750</v>
      </c>
      <c r="H149" s="68"/>
      <c r="L149" s="3479" t="str">
        <f>$O$53</f>
        <v>Income Averaging</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4389</v>
      </c>
      <c r="D151" s="3456"/>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67">K132+K136</f>
        <v>0</v>
      </c>
      <c r="L155" s="1102">
        <f t="shared" si="367"/>
        <v>6</v>
      </c>
      <c r="M155" s="1102">
        <f t="shared" si="367"/>
        <v>24</v>
      </c>
      <c r="N155" s="1102">
        <f t="shared" si="367"/>
        <v>18</v>
      </c>
      <c r="O155" s="1103">
        <f t="shared" si="367"/>
        <v>0</v>
      </c>
      <c r="P155" s="1600">
        <f t="shared" si="365"/>
        <v>48</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0" t="s">
        <v>3766</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1416</v>
      </c>
      <c r="M162" s="1105">
        <f>EP49</f>
        <v>7544</v>
      </c>
      <c r="N162" s="1105">
        <f>EQ49</f>
        <v>6732</v>
      </c>
      <c r="O162" s="1106">
        <f>ER49</f>
        <v>0</v>
      </c>
      <c r="P162" s="1029">
        <f t="shared" si="368"/>
        <v>15692</v>
      </c>
      <c r="Q162" s="1228">
        <f t="shared" si="369"/>
        <v>980.75</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708</v>
      </c>
      <c r="M163" s="1105">
        <f>EU49</f>
        <v>2829</v>
      </c>
      <c r="N163" s="1105">
        <f>EV49</f>
        <v>2244</v>
      </c>
      <c r="O163" s="1106">
        <f>EW49</f>
        <v>0</v>
      </c>
      <c r="P163" s="1029">
        <f t="shared" si="368"/>
        <v>5781</v>
      </c>
      <c r="Q163" s="1228">
        <f t="shared" si="369"/>
        <v>963.5</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2124</v>
      </c>
      <c r="M164" s="1165">
        <f>EZ49</f>
        <v>12259</v>
      </c>
      <c r="N164" s="1165">
        <f>FA49</f>
        <v>11220</v>
      </c>
      <c r="O164" s="1166">
        <f>FB49</f>
        <v>0</v>
      </c>
      <c r="P164" s="1167">
        <f t="shared" si="368"/>
        <v>25603</v>
      </c>
      <c r="Q164" s="1228">
        <f t="shared" si="369"/>
        <v>984.73076923076928</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4248</v>
      </c>
      <c r="M168" s="1602">
        <f>SUM(M161:M167)</f>
        <v>22632</v>
      </c>
      <c r="N168" s="1602">
        <f>SUM(N161:N167)</f>
        <v>20196</v>
      </c>
      <c r="O168" s="1602">
        <f>SUM(O161:O167)</f>
        <v>0</v>
      </c>
      <c r="P168" s="1602">
        <f>SUM(K168:O168)</f>
        <v>47076</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4248</v>
      </c>
      <c r="M170" s="1601">
        <f>SUM(M168:M169)</f>
        <v>22632</v>
      </c>
      <c r="N170" s="1601">
        <f>SUM(N168:N169)</f>
        <v>20196</v>
      </c>
      <c r="O170" s="1601">
        <f>SUM(O168:O169)</f>
        <v>0</v>
      </c>
      <c r="P170" s="1601">
        <f>SUM(K170:O170)</f>
        <v>47076</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4248</v>
      </c>
      <c r="M172" s="1035">
        <f>SUM(M170:M171)</f>
        <v>22632</v>
      </c>
      <c r="N172" s="1035">
        <f>SUM(N170:N171)</f>
        <v>20196</v>
      </c>
      <c r="O172" s="1035">
        <f>SUM(O170:O171)</f>
        <v>0</v>
      </c>
      <c r="P172" s="1035">
        <f>SUM(K172:O172)</f>
        <v>47076</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708</v>
      </c>
      <c r="M175" s="1227">
        <f>IF(OR(M67="",M67=0),"",M172/M67)</f>
        <v>943</v>
      </c>
      <c r="N175" s="1227">
        <f>IF(OR(N67="",N67=0),"",N172/N67)</f>
        <v>1122</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482">
        <v>1821</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48897</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8136</v>
      </c>
      <c r="I183" s="3549"/>
      <c r="J183" s="1342" t="s">
        <v>4647</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27012</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51700</v>
      </c>
      <c r="G225" s="3490"/>
      <c r="H225" s="1"/>
      <c r="I225" s="1" t="s">
        <v>1298</v>
      </c>
      <c r="K225" s="1"/>
      <c r="L225" s="3489"/>
      <c r="M225" s="3490"/>
      <c r="N225" s="1"/>
      <c r="O225" s="318">
        <f>+Q224/(P67*0.93)</f>
        <v>605.10752688172045</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51700</v>
      </c>
      <c r="G226" s="3495"/>
      <c r="H226" s="1"/>
      <c r="I226" s="1" t="s">
        <v>1299</v>
      </c>
      <c r="K226" s="1"/>
      <c r="L226" s="3496">
        <v>600</v>
      </c>
      <c r="M226" s="3497"/>
      <c r="N226" s="1"/>
      <c r="O226" s="318">
        <f>+Q224/(P67*0.93)/12</f>
        <v>50.42562724014337</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v>7889.9800000000105</v>
      </c>
      <c r="G227" s="3495"/>
      <c r="H227" s="1"/>
      <c r="I227" s="1"/>
      <c r="K227" s="8" t="s">
        <v>184</v>
      </c>
      <c r="L227" s="3498">
        <f>SUM(L225:M226)</f>
        <v>600</v>
      </c>
      <c r="M227" s="3499"/>
      <c r="N227" s="1"/>
      <c r="O227" s="29" t="s">
        <v>3137</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111289.98000000001</v>
      </c>
      <c r="G231" s="3499"/>
      <c r="H231" s="1"/>
      <c r="I231" s="1" t="s">
        <v>1495</v>
      </c>
      <c r="K231" s="1"/>
      <c r="L231" s="3502">
        <v>1000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8500</v>
      </c>
      <c r="M232" s="3501"/>
      <c r="N232" s="3506" t="str">
        <f>IF(Q234="","",IF(Q232&lt;Q234, "WARNING! OE may be below required minimum.",""))</f>
        <v/>
      </c>
      <c r="O232" s="4" t="s">
        <v>2024</v>
      </c>
      <c r="P232" s="1"/>
      <c r="Q232" s="325">
        <f>F231+F240+F251+L227+L235+L245+L251+Q224</f>
        <v>292272</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1000</v>
      </c>
      <c r="M233" s="3501"/>
      <c r="N233" s="3506"/>
      <c r="O233" s="42" t="s">
        <v>2479</v>
      </c>
      <c r="P233" s="318">
        <f>+Q232/P67</f>
        <v>6089</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1750</v>
      </c>
      <c r="G234" s="3490"/>
      <c r="H234" s="1"/>
      <c r="I234" s="3507" t="s">
        <v>46</v>
      </c>
      <c r="J234" s="3508"/>
      <c r="K234" s="3509"/>
      <c r="L234" s="3504"/>
      <c r="M234" s="3505"/>
      <c r="N234" s="3506"/>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156000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4000</v>
      </c>
      <c r="G235" s="3495"/>
      <c r="H235" s="1"/>
      <c r="I235" s="4"/>
      <c r="K235" s="8" t="s">
        <v>184</v>
      </c>
      <c r="L235" s="3510">
        <f>SUM(L231:L234)</f>
        <v>10500</v>
      </c>
      <c r="M235" s="3511"/>
      <c r="N235" s="3506"/>
      <c r="O235" s="3512" t="s">
        <v>4829</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3500</v>
      </c>
      <c r="G238" s="3495"/>
      <c r="H238" s="1"/>
      <c r="I238" s="4" t="s">
        <v>1295</v>
      </c>
      <c r="K238" s="248" t="s">
        <v>3759</v>
      </c>
      <c r="O238" s="1249" t="s">
        <v>3000</v>
      </c>
      <c r="P238" s="4"/>
      <c r="Q238" s="904">
        <f>Q247</f>
        <v>14400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5200</v>
      </c>
      <c r="C239" s="3492"/>
      <c r="D239" s="3492"/>
      <c r="E239" s="3493"/>
      <c r="F239" s="3496">
        <v>2000</v>
      </c>
      <c r="G239" s="3497"/>
      <c r="H239" s="1"/>
      <c r="I239" s="1" t="s">
        <v>1288</v>
      </c>
      <c r="K239" s="364">
        <f>L239/12/P67</f>
        <v>17.361111111111111</v>
      </c>
      <c r="L239" s="3502">
        <v>10000</v>
      </c>
      <c r="M239" s="3503"/>
      <c r="N239" s="3506" t="str">
        <f>IF(Q238&lt;Q247, "WARNING! RR proposed is below the DCA required minimum.","")</f>
        <v/>
      </c>
      <c r="O239" s="759" t="s">
        <v>3758</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11250</v>
      </c>
      <c r="G240" s="3499"/>
      <c r="H240" s="1"/>
      <c r="I240" s="1" t="s">
        <v>1289</v>
      </c>
      <c r="K240" s="364">
        <f>L240/12/P67</f>
        <v>0</v>
      </c>
      <c r="L240" s="3500"/>
      <c r="M240" s="3501"/>
      <c r="N240" s="3551"/>
      <c r="O240" s="3552" t="s">
        <v>3144</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5.9027777777777777</v>
      </c>
      <c r="L241" s="3500">
        <v>3400</v>
      </c>
      <c r="M241" s="3501"/>
      <c r="N241" s="3551"/>
      <c r="O241" s="753" t="s">
        <v>2457</v>
      </c>
      <c r="P241" s="657" t="s">
        <v>3198</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21.701388888888889</v>
      </c>
      <c r="L242" s="3500">
        <v>12500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5400</v>
      </c>
      <c r="G243" s="3522"/>
      <c r="H243" s="1"/>
      <c r="I243" s="72" t="s">
        <v>4575</v>
      </c>
      <c r="K243" s="364">
        <f>L243/12/P67</f>
        <v>0</v>
      </c>
      <c r="L243" s="3500">
        <v>0</v>
      </c>
      <c r="M243" s="3501"/>
      <c r="N243" s="3551"/>
      <c r="O243" s="386" t="s">
        <v>2969</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8600</v>
      </c>
      <c r="G244" s="3520"/>
      <c r="H244" s="1"/>
      <c r="I244" s="3555" t="s">
        <v>5143</v>
      </c>
      <c r="J244" s="3556"/>
      <c r="K244" s="364">
        <f>L244/12/P67</f>
        <v>3.4722222222222219</v>
      </c>
      <c r="L244" s="3504">
        <v>2000</v>
      </c>
      <c r="M244" s="3505"/>
      <c r="N244" s="3551"/>
      <c r="O244" s="386" t="s">
        <v>2968</v>
      </c>
      <c r="P244" s="661" t="str">
        <f>CONCATENATE(SUM(MK49:MO49)," units x $",'DCA Underwriting Assumptions'!$Q$42," =")</f>
        <v>48 units x $300 =</v>
      </c>
      <c r="Q244" s="500">
        <f>SUM(MK49:MO49)*'DCA Underwriting Assumptions'!$Q$42</f>
        <v>14400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20000</v>
      </c>
      <c r="G245" s="3520"/>
      <c r="H245" s="1"/>
      <c r="K245" s="8" t="s">
        <v>184</v>
      </c>
      <c r="L245" s="3510">
        <f>SUM(L239:L244)</f>
        <v>27900</v>
      </c>
      <c r="M245" s="3511"/>
      <c r="N245" s="3551"/>
      <c r="O245" s="501" t="s">
        <v>4395</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7000</v>
      </c>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1200</v>
      </c>
      <c r="G247" s="3495"/>
      <c r="H247" s="1"/>
      <c r="I247" s="4" t="s">
        <v>1296</v>
      </c>
      <c r="O247" s="756" t="s">
        <v>2460</v>
      </c>
      <c r="P247" s="757">
        <f>SUM(MF49:MJ49)+SUM(MK49:MO49)+SUM(MP49:MT49)+P125</f>
        <v>48</v>
      </c>
      <c r="Q247" s="758">
        <f>SUM(Q243:Q246)</f>
        <v>14400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3804</v>
      </c>
      <c r="K248" s="1"/>
      <c r="L248" s="3502">
        <v>40747.49</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1000</v>
      </c>
      <c r="G249" s="3495"/>
      <c r="H249" s="1"/>
      <c r="I249" s="1" t="s">
        <v>140</v>
      </c>
      <c r="K249" s="1"/>
      <c r="L249" s="3500">
        <v>19772.53</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43200</v>
      </c>
      <c r="G251" s="3563"/>
      <c r="H251" s="1"/>
      <c r="K251" s="8" t="s">
        <v>184</v>
      </c>
      <c r="L251" s="3510">
        <f>SUM(L247:L250)</f>
        <v>60520.02</v>
      </c>
      <c r="M251" s="3564"/>
      <c r="N251" s="1"/>
      <c r="O251" s="4" t="s">
        <v>2025</v>
      </c>
      <c r="P251" s="1"/>
      <c r="Q251" s="325">
        <f>Q232+Q238</f>
        <v>306672</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565"/>
      <c r="L255" s="3566"/>
      <c r="M255" s="1221" t="s">
        <v>3776</v>
      </c>
      <c r="N255" s="1163"/>
      <c r="O255" s="4" t="s">
        <v>3751</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1641</v>
      </c>
      <c r="K257" s="1162" t="s">
        <v>3779</v>
      </c>
      <c r="L257" s="1202" t="s">
        <v>1641</v>
      </c>
      <c r="M257" s="53" t="s">
        <v>3780</v>
      </c>
      <c r="N257" s="1163"/>
      <c r="O257" s="72" t="s">
        <v>3778</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560" t="s">
        <v>5207</v>
      </c>
      <c r="B260" s="3560"/>
      <c r="C260" s="3560"/>
      <c r="D260" s="3560"/>
      <c r="E260" s="3560"/>
      <c r="F260" s="3560"/>
      <c r="G260" s="3560"/>
      <c r="H260" s="3560"/>
      <c r="I260" s="3560"/>
      <c r="J260" s="3560"/>
      <c r="K260" s="3560"/>
      <c r="L260" s="3560"/>
      <c r="M260" s="3560"/>
      <c r="N260" s="3561"/>
      <c r="O260" s="3561"/>
      <c r="P260" s="3561"/>
      <c r="Q260" s="3561"/>
      <c r="R260" s="2946" t="s">
        <v>3284</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BVQ5WEtXLgNwJP8zFS315kxkXp/qrBP55R4++BPu7E7oaocwErreb9k2u69JJuU4Q3GRHezH6o2b1mEqDMru+Q==" saltValue="dMXS3bj8+4OgCE0p6vowwQ=="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95" workbookViewId="0">
      <selection activeCell="D83" sqref="D8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Pinecrest Village, Douglas, Coffee County</v>
      </c>
      <c r="B2" s="3568"/>
      <c r="C2" s="3568"/>
      <c r="D2" s="3568"/>
      <c r="E2" s="3568"/>
      <c r="F2" s="3568"/>
      <c r="G2" s="3568"/>
      <c r="H2" s="3568"/>
      <c r="I2" s="3568"/>
      <c r="J2" s="3568"/>
      <c r="K2" s="3569"/>
      <c r="L2" s="4"/>
      <c r="M2" s="4"/>
      <c r="N2" s="3570" t="str">
        <f>A2</f>
        <v>PART SIX - OPERATING PRO FORMA  -  2024-0 Pinecrest Village, Douglas, Coffee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3313</v>
      </c>
      <c r="N4" s="10" t="str">
        <f>A4</f>
        <v>I.  OPERATING ASSUMPTIONS</v>
      </c>
      <c r="O4" s="10"/>
      <c r="AA4" s="1633">
        <v>4</v>
      </c>
    </row>
    <row r="5" spans="1:27" ht="2.65" customHeight="1">
      <c r="C5" s="3572"/>
      <c r="AA5" s="1633">
        <v>5</v>
      </c>
    </row>
    <row r="6" spans="1:27" ht="13.5" customHeight="1">
      <c r="A6" s="6" t="s">
        <v>2026</v>
      </c>
      <c r="B6" s="58">
        <f>'DCA Underwriting Assumptions'!$Q$114</f>
        <v>0.02</v>
      </c>
      <c r="C6" s="3572"/>
      <c r="D6" s="3457" t="s">
        <v>3314</v>
      </c>
      <c r="E6" s="3457"/>
      <c r="F6" s="3457"/>
      <c r="G6" s="59">
        <v>5000</v>
      </c>
      <c r="H6" s="75" t="s">
        <v>1763</v>
      </c>
      <c r="K6" s="80">
        <f>IF(($B$15+$B$16+$B$17+$B$18)=0,"",B31/($B$15+$B$16+$B$17+$B$18))</f>
        <v>-1.2957044185179173E-2</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6.9999135506011972E-2</v>
      </c>
      <c r="N8" s="3452"/>
      <c r="O8" s="3454"/>
      <c r="AA8" s="1633">
        <v>8</v>
      </c>
    </row>
    <row r="9" spans="1:27" ht="13.35" customHeight="1">
      <c r="A9" s="6" t="s">
        <v>2028</v>
      </c>
      <c r="B9" s="186">
        <v>7.0000000000000007E-2</v>
      </c>
      <c r="C9" s="1154" t="str">
        <f>IF(B9&lt;0.07, "Must be &gt;= 7%!","")</f>
        <v/>
      </c>
      <c r="D9" s="1" t="s">
        <v>2301</v>
      </c>
      <c r="G9" s="1169" t="s">
        <v>2644</v>
      </c>
      <c r="H9" s="140" t="s">
        <v>1353</v>
      </c>
      <c r="K9" s="1171"/>
      <c r="N9" s="3452"/>
      <c r="O9" s="3454"/>
      <c r="AA9" s="1633">
        <v>9</v>
      </c>
    </row>
    <row r="10" spans="1:27">
      <c r="A10" s="6" t="s">
        <v>1334</v>
      </c>
      <c r="B10" s="58">
        <v>0.02</v>
      </c>
      <c r="D10" s="1" t="s">
        <v>1595</v>
      </c>
      <c r="G10" s="1170" t="s">
        <v>2641</v>
      </c>
      <c r="H10" s="140" t="s">
        <v>2168</v>
      </c>
      <c r="K10" s="1172">
        <v>7.0000000000000007E-2</v>
      </c>
      <c r="N10" s="3465"/>
      <c r="O10" s="346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406800</v>
      </c>
      <c r="C15" s="15">
        <f t="shared" ref="C15:K15" si="1">$B$15*(1+$B$6)^(C14-1)</f>
        <v>414936</v>
      </c>
      <c r="D15" s="15">
        <f t="shared" si="1"/>
        <v>423234.72</v>
      </c>
      <c r="E15" s="15">
        <f t="shared" si="1"/>
        <v>431699.41439999995</v>
      </c>
      <c r="F15" s="15">
        <f t="shared" si="1"/>
        <v>440333.402688</v>
      </c>
      <c r="G15" s="15">
        <f t="shared" si="1"/>
        <v>449140.07074176002</v>
      </c>
      <c r="H15" s="15">
        <f t="shared" si="1"/>
        <v>458122.87215659523</v>
      </c>
      <c r="I15" s="15">
        <f t="shared" si="1"/>
        <v>467285.329599727</v>
      </c>
      <c r="J15" s="15">
        <f t="shared" si="1"/>
        <v>476631.03619172162</v>
      </c>
      <c r="K15" s="16">
        <f t="shared" si="1"/>
        <v>486163.65691555606</v>
      </c>
      <c r="N15" s="3476"/>
      <c r="O15" s="3478"/>
      <c r="S15" s="3573" t="s">
        <v>3319</v>
      </c>
      <c r="Z15" s="1631" t="s">
        <v>4357</v>
      </c>
      <c r="AA15" s="1633">
        <v>15</v>
      </c>
    </row>
    <row r="16" spans="1:27" ht="13.35" customHeight="1">
      <c r="A16" s="17" t="s">
        <v>951</v>
      </c>
      <c r="B16" s="18">
        <f>MIN(B15*B10,'Part V-Revenues &amp; Expenses'!$H$183)</f>
        <v>8136</v>
      </c>
      <c r="C16" s="18">
        <f t="shared" ref="C16:K16" si="2">$B$16*(1+$B$6)^(C14-1)</f>
        <v>8298.7199999999993</v>
      </c>
      <c r="D16" s="18">
        <f t="shared" si="2"/>
        <v>8464.6944000000003</v>
      </c>
      <c r="E16" s="18">
        <f t="shared" si="2"/>
        <v>8633.9882879999986</v>
      </c>
      <c r="F16" s="18">
        <f t="shared" si="2"/>
        <v>8806.6680537600005</v>
      </c>
      <c r="G16" s="18">
        <f t="shared" si="2"/>
        <v>8982.8014148351995</v>
      </c>
      <c r="H16" s="18">
        <f t="shared" si="2"/>
        <v>9162.4574431319052</v>
      </c>
      <c r="I16" s="18">
        <f t="shared" si="2"/>
        <v>9345.7065919945398</v>
      </c>
      <c r="J16" s="18">
        <f t="shared" si="2"/>
        <v>9532.6207238344323</v>
      </c>
      <c r="K16" s="19">
        <f t="shared" si="2"/>
        <v>9723.2731383111204</v>
      </c>
      <c r="N16" s="3452"/>
      <c r="O16" s="3454"/>
      <c r="S16" s="3574"/>
      <c r="Z16" s="1631" t="s">
        <v>4357</v>
      </c>
      <c r="AA16" s="1633">
        <v>16</v>
      </c>
    </row>
    <row r="17" spans="1:27" ht="13.35" customHeight="1">
      <c r="A17" s="17" t="s">
        <v>2210</v>
      </c>
      <c r="B17" s="18">
        <f t="shared" ref="B17:K17" si="3">-(B15+B16)*$B$9</f>
        <v>-29045.520000000004</v>
      </c>
      <c r="C17" s="18">
        <f t="shared" si="3"/>
        <v>-29626.430400000001</v>
      </c>
      <c r="D17" s="18">
        <f t="shared" si="3"/>
        <v>-30218.959007999998</v>
      </c>
      <c r="E17" s="18">
        <f t="shared" si="3"/>
        <v>-30823.33818816</v>
      </c>
      <c r="F17" s="18">
        <f t="shared" si="3"/>
        <v>-31439.804951923204</v>
      </c>
      <c r="G17" s="18">
        <f t="shared" si="3"/>
        <v>-32068.601050961668</v>
      </c>
      <c r="H17" s="18">
        <f t="shared" si="3"/>
        <v>-32709.973071980901</v>
      </c>
      <c r="I17" s="18">
        <f t="shared" si="3"/>
        <v>-33364.172533420511</v>
      </c>
      <c r="J17" s="18">
        <f t="shared" si="3"/>
        <v>-34031.455984088927</v>
      </c>
      <c r="K17" s="19">
        <f t="shared" si="3"/>
        <v>-34712.085103770703</v>
      </c>
      <c r="N17" s="3452"/>
      <c r="O17" s="3454"/>
      <c r="Q17" s="3576" t="s">
        <v>3213</v>
      </c>
      <c r="R17" s="3576" t="s">
        <v>3318</v>
      </c>
      <c r="S17" s="3574"/>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4357</v>
      </c>
      <c r="AA19" s="1633">
        <v>19</v>
      </c>
    </row>
    <row r="20" spans="1:27" ht="13.35" customHeight="1">
      <c r="A20" s="340" t="s">
        <v>3713</v>
      </c>
      <c r="B20" s="18">
        <f>SUM(B15:B19)</f>
        <v>385890.48</v>
      </c>
      <c r="C20" s="18">
        <f t="shared" ref="C20:K20" si="4">SUM(C15:C19)</f>
        <v>393608.28959999996</v>
      </c>
      <c r="D20" s="18">
        <f t="shared" si="4"/>
        <v>401480.45539199997</v>
      </c>
      <c r="E20" s="18">
        <f t="shared" si="4"/>
        <v>409510.06449983997</v>
      </c>
      <c r="F20" s="18">
        <f t="shared" si="4"/>
        <v>417700.26578983682</v>
      </c>
      <c r="G20" s="18">
        <f t="shared" si="4"/>
        <v>426054.27110563358</v>
      </c>
      <c r="H20" s="18">
        <f t="shared" si="4"/>
        <v>434575.35652774619</v>
      </c>
      <c r="I20" s="18">
        <f t="shared" si="4"/>
        <v>443266.86365830107</v>
      </c>
      <c r="J20" s="18">
        <f t="shared" si="4"/>
        <v>452132.20093146712</v>
      </c>
      <c r="K20" s="19">
        <f t="shared" si="4"/>
        <v>461174.84495009645</v>
      </c>
      <c r="N20" s="3452"/>
      <c r="O20" s="3454"/>
      <c r="Z20" s="1631" t="s">
        <v>4357</v>
      </c>
      <c r="AA20" s="1633">
        <v>20</v>
      </c>
    </row>
    <row r="21" spans="1:27" ht="13.35" customHeight="1">
      <c r="A21" s="17" t="s">
        <v>571</v>
      </c>
      <c r="B21" s="18">
        <f>-('Part V-Revenues &amp; Expenses'!$Q$232-'Part V-Revenues &amp; Expenses'!$Q$224)</f>
        <v>-265260</v>
      </c>
      <c r="C21" s="18">
        <f t="shared" ref="C21:K21" si="5">$B$21*(1+$B$7)^(C14-1)</f>
        <v>-273217.8</v>
      </c>
      <c r="D21" s="18">
        <f t="shared" si="5"/>
        <v>-281414.33399999997</v>
      </c>
      <c r="E21" s="18">
        <f t="shared" si="5"/>
        <v>-289856.76402</v>
      </c>
      <c r="F21" s="18">
        <f t="shared" si="5"/>
        <v>-298552.46694059996</v>
      </c>
      <c r="G21" s="18">
        <f t="shared" si="5"/>
        <v>-307509.04094881797</v>
      </c>
      <c r="H21" s="18">
        <f t="shared" si="5"/>
        <v>-316734.31217728253</v>
      </c>
      <c r="I21" s="18">
        <f t="shared" si="5"/>
        <v>-326236.341542601</v>
      </c>
      <c r="J21" s="18">
        <f t="shared" si="5"/>
        <v>-336023.43178887898</v>
      </c>
      <c r="K21" s="19">
        <f t="shared" si="5"/>
        <v>-346104.13474254537</v>
      </c>
      <c r="N21" s="3452"/>
      <c r="O21" s="3454"/>
      <c r="Q21" s="47">
        <v>1</v>
      </c>
      <c r="R21" s="856">
        <f>-B32</f>
        <v>13400</v>
      </c>
      <c r="S21" s="856">
        <f>B33+R21</f>
        <v>44426.507384253244</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-27012</v>
      </c>
      <c r="C22" s="18">
        <f>IF(AND('Part VI-Pro Forma'!$G$9="Yes",'Part VI-Pro Forma'!$G$10="Yes"),"Choose One!",IF('Part VI-Pro Forma'!$G$9="Yes",ROUND((-$K$9*(1+'Part VI-Pro Forma'!$B$7)^('Part VI-Pro Forma'!C14-1)),),IF('Part VI-Pro Forma'!$G$10="Yes",ROUND((-(SUM(C15:C18)*'Part VI-Pro Forma'!$K$10)),),"Choose mgt fee")))</f>
        <v>-27553</v>
      </c>
      <c r="D22" s="18">
        <f>IF(AND('Part VI-Pro Forma'!$G$9="Yes",'Part VI-Pro Forma'!$G$10="Yes"),"Choose One!",IF('Part VI-Pro Forma'!$G$9="Yes",ROUND((-$K$9*(1+'Part VI-Pro Forma'!$B$7)^('Part VI-Pro Forma'!D14-1)),),IF('Part VI-Pro Forma'!$G$10="Yes",ROUND((-(SUM(D15:D18)*'Part VI-Pro Forma'!$K$10)),),"Choose mgt fee")))</f>
        <v>-28104</v>
      </c>
      <c r="E22" s="18">
        <f>IF(AND('Part VI-Pro Forma'!$G$9="Yes",'Part VI-Pro Forma'!$G$10="Yes"),"Choose One!",IF('Part VI-Pro Forma'!$G$9="Yes",ROUND((-$K$9*(1+'Part VI-Pro Forma'!$B$7)^('Part VI-Pro Forma'!E14-1)),),IF('Part VI-Pro Forma'!$G$10="Yes",ROUND((-(SUM(E15:E18)*'Part VI-Pro Forma'!$K$10)),),"Choose mgt fee")))</f>
        <v>-28666</v>
      </c>
      <c r="F22" s="18">
        <f>IF(AND('Part VI-Pro Forma'!$G$9="Yes",'Part VI-Pro Forma'!$G$10="Yes"),"Choose One!",IF('Part VI-Pro Forma'!$G$9="Yes",ROUND((-$K$9*(1+'Part VI-Pro Forma'!$B$7)^('Part VI-Pro Forma'!F14-1)),),IF('Part VI-Pro Forma'!$G$10="Yes",ROUND((-(SUM(F15:F18)*'Part VI-Pro Forma'!$K$10)),),"Choose mgt fee")))</f>
        <v>-29239</v>
      </c>
      <c r="G22" s="18">
        <f>IF(AND('Part VI-Pro Forma'!$G$9="Yes",'Part VI-Pro Forma'!$G$10="Yes"),"Choose One!",IF('Part VI-Pro Forma'!$G$9="Yes",ROUND((-$K$9*(1+'Part VI-Pro Forma'!$B$7)^('Part VI-Pro Forma'!G14-1)),),IF('Part VI-Pro Forma'!$G$10="Yes",ROUND((-(SUM(G15:G18)*'Part VI-Pro Forma'!$K$10)),),"Choose mgt fee")))</f>
        <v>-29824</v>
      </c>
      <c r="H22" s="18">
        <f>IF(AND('Part VI-Pro Forma'!$G$9="Yes",'Part VI-Pro Forma'!$G$10="Yes"),"Choose One!",IF('Part VI-Pro Forma'!$G$9="Yes",ROUND((-$K$9*(1+'Part VI-Pro Forma'!$B$7)^('Part VI-Pro Forma'!H14-1)),),IF('Part VI-Pro Forma'!$G$10="Yes",ROUND((-(SUM(H15:H18)*'Part VI-Pro Forma'!$K$10)),),"Choose mgt fee")))</f>
        <v>-30420</v>
      </c>
      <c r="I22" s="18">
        <f>IF(AND('Part VI-Pro Forma'!$G$9="Yes",'Part VI-Pro Forma'!$G$10="Yes"),"Choose One!",IF('Part VI-Pro Forma'!$G$9="Yes",ROUND((-$K$9*(1+'Part VI-Pro Forma'!$B$7)^('Part VI-Pro Forma'!I14-1)),),IF('Part VI-Pro Forma'!$G$10="Yes",ROUND((-(SUM(I15:I18)*'Part VI-Pro Forma'!$K$10)),),"Choose mgt fee")))</f>
        <v>-31029</v>
      </c>
      <c r="J22" s="18">
        <f>IF(AND('Part VI-Pro Forma'!$G$9="Yes",'Part VI-Pro Forma'!$G$10="Yes"),"Choose One!",IF('Part VI-Pro Forma'!$G$9="Yes",ROUND((-$K$9*(1+'Part VI-Pro Forma'!$B$7)^('Part VI-Pro Forma'!J14-1)),),IF('Part VI-Pro Forma'!$G$10="Yes",ROUND((-(SUM(J15:J18)*'Part VI-Pro Forma'!$K$10)),),"Choose mgt fee")))</f>
        <v>-31649</v>
      </c>
      <c r="K22" s="19">
        <f>IF(AND('Part VI-Pro Forma'!$G$9="Yes",'Part VI-Pro Forma'!$G$10="Yes"),"Choose One!",IF('Part VI-Pro Forma'!$G$9="Yes",ROUND((-$K$9*(1+'Part VI-Pro Forma'!$B$7)^('Part VI-Pro Forma'!K14-1)),),IF('Part VI-Pro Forma'!$G$10="Yes",ROUND((-(SUM(K15:K18)*'Part VI-Pro Forma'!$K$10)),),"Choose mgt fee")))</f>
        <v>-32282</v>
      </c>
      <c r="N22" s="3452"/>
      <c r="O22" s="3454"/>
      <c r="Q22" s="47">
        <v>2</v>
      </c>
      <c r="R22" s="856">
        <f>-SUM(B32:C32)</f>
        <v>13400</v>
      </c>
      <c r="S22" s="856">
        <f>SUM(B33:C33)+R22</f>
        <v>87640.024368506478</v>
      </c>
      <c r="Z22" s="1631" t="s">
        <v>4357</v>
      </c>
      <c r="AA22" s="1633">
        <v>22</v>
      </c>
    </row>
    <row r="23" spans="1:27" ht="13.35" customHeight="1">
      <c r="A23" s="17" t="s">
        <v>1127</v>
      </c>
      <c r="B23" s="18">
        <f>-('Part V-Revenues &amp; Expenses'!$Q$238)</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452"/>
      <c r="O23" s="3454"/>
      <c r="Q23" s="47">
        <v>3</v>
      </c>
      <c r="R23" s="856">
        <f>-SUM(B32:D32)</f>
        <v>13400</v>
      </c>
      <c r="S23" s="856">
        <f>SUM(B33:D33)+R23</f>
        <v>129533.21314475975</v>
      </c>
      <c r="Z23" s="1631" t="s">
        <v>4357</v>
      </c>
      <c r="AA23" s="1633">
        <v>23</v>
      </c>
    </row>
    <row r="24" spans="1:27" ht="13.35"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13400</v>
      </c>
      <c r="S24" s="856">
        <f>SUM(B33:E33)+R24</f>
        <v>169993.27220885298</v>
      </c>
      <c r="Z24" s="1631" t="s">
        <v>4357</v>
      </c>
      <c r="AA24" s="1633">
        <v>24</v>
      </c>
    </row>
    <row r="25" spans="1:27" ht="13.35" customHeight="1">
      <c r="A25" s="17" t="s">
        <v>1128</v>
      </c>
      <c r="B25" s="18">
        <f>SUM(B20:B24)</f>
        <v>79218.479999999981</v>
      </c>
      <c r="C25" s="18">
        <f t="shared" ref="C25:J25" si="7">SUM(C20:C24)</f>
        <v>78005.489599999972</v>
      </c>
      <c r="D25" s="18">
        <f t="shared" si="7"/>
        <v>76685.161392000009</v>
      </c>
      <c r="E25" s="18">
        <f t="shared" si="7"/>
        <v>75252.031679839958</v>
      </c>
      <c r="F25" s="18">
        <f t="shared" si="7"/>
        <v>73701.471985236858</v>
      </c>
      <c r="G25" s="18">
        <f t="shared" si="7"/>
        <v>72027.683486895607</v>
      </c>
      <c r="H25" s="18">
        <f t="shared" si="7"/>
        <v>70226.691280446074</v>
      </c>
      <c r="I25" s="18">
        <f t="shared" si="7"/>
        <v>68291.338453581935</v>
      </c>
      <c r="J25" s="18">
        <f t="shared" si="7"/>
        <v>66218.279970606469</v>
      </c>
      <c r="K25" s="1156">
        <f>SUM(K20:K24)</f>
        <v>63999.976360409957</v>
      </c>
      <c r="N25" s="3452"/>
      <c r="O25" s="3454"/>
      <c r="Q25" s="92">
        <v>5</v>
      </c>
      <c r="R25" s="856">
        <f>-SUM(B32:F32)</f>
        <v>13400</v>
      </c>
      <c r="S25" s="856">
        <f>SUM(B33:F33)+R25</f>
        <v>208902.77157834312</v>
      </c>
      <c r="Z25" s="1631" t="s">
        <v>4357</v>
      </c>
      <c r="AA25" s="1633">
        <v>25</v>
      </c>
    </row>
    <row r="26" spans="1:27" ht="13.35" customHeight="1">
      <c r="A26" s="340" t="s">
        <v>1484</v>
      </c>
      <c r="B26" s="341">
        <f>IF('Part II-Sources of Funds'!$P$40="", 0,-'Part II-Sources of Funds'!$P$40)</f>
        <v>-29791.972615746738</v>
      </c>
      <c r="C26" s="341">
        <f>IF('Part II-Sources of Funds'!$P$40="", 0,-'Part II-Sources of Funds'!$P$40)</f>
        <v>-29791.972615746738</v>
      </c>
      <c r="D26" s="341">
        <f>IF('Part II-Sources of Funds'!$P$40="", 0,-'Part II-Sources of Funds'!$P$40)</f>
        <v>-29791.972615746738</v>
      </c>
      <c r="E26" s="341">
        <f>IF('Part II-Sources of Funds'!$P$40="", 0,-'Part II-Sources of Funds'!$P$40)</f>
        <v>-29791.972615746738</v>
      </c>
      <c r="F26" s="341">
        <f>IF('Part II-Sources of Funds'!$P$40="", 0,-'Part II-Sources of Funds'!$P$40)</f>
        <v>-29791.972615746738</v>
      </c>
      <c r="G26" s="341">
        <f>IF('Part II-Sources of Funds'!$P$40="", 0,-'Part II-Sources of Funds'!$P$40)</f>
        <v>-29791.972615746738</v>
      </c>
      <c r="H26" s="341">
        <f>IF('Part II-Sources of Funds'!$P$40="", 0,-'Part II-Sources of Funds'!$P$40)</f>
        <v>-29791.972615746738</v>
      </c>
      <c r="I26" s="341">
        <f>IF('Part II-Sources of Funds'!$P$40="", 0,-'Part II-Sources of Funds'!$P$40)</f>
        <v>-29791.972615746738</v>
      </c>
      <c r="J26" s="341">
        <f>IF('Part II-Sources of Funds'!$P$40="", 0,-'Part II-Sources of Funds'!$P$40)</f>
        <v>-29791.972615746738</v>
      </c>
      <c r="K26" s="341">
        <f>IF('Part II-Sources of Funds'!$P$40="", 0,-'Part II-Sources of Funds'!$P$40)</f>
        <v>-29791.972615746738</v>
      </c>
      <c r="N26" s="3452"/>
      <c r="O26" s="3454"/>
      <c r="Q26" s="92">
        <v>6</v>
      </c>
      <c r="R26" s="856">
        <f>-SUM(B32:G32)</f>
        <v>13400</v>
      </c>
      <c r="S26" s="856">
        <f>SUM(B33:G33)+R26</f>
        <v>246138.48244949197</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13400</v>
      </c>
      <c r="S27" s="856">
        <f>SUM(B33:H33)+R27</f>
        <v>281573.20111419132</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13400</v>
      </c>
      <c r="S28" s="856">
        <f>SUM(B33:I33)+R28</f>
        <v>315072.56695202651</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13400</v>
      </c>
      <c r="S29" s="856">
        <f>SUM(B33:J33)+R29</f>
        <v>346498.87430688622</v>
      </c>
      <c r="Z29" s="1631" t="s">
        <v>4357</v>
      </c>
      <c r="AA29" s="1633">
        <v>29</v>
      </c>
    </row>
    <row r="30" spans="1:27" ht="13.35" customHeight="1">
      <c r="A30" s="17" t="s">
        <v>710</v>
      </c>
      <c r="B30" s="138"/>
      <c r="C30" s="138"/>
      <c r="D30" s="138"/>
      <c r="E30" s="138"/>
      <c r="F30" s="138"/>
      <c r="G30" s="138"/>
      <c r="H30" s="138"/>
      <c r="I30" s="138"/>
      <c r="J30" s="138"/>
      <c r="K30" s="138"/>
      <c r="N30" s="3452"/>
      <c r="O30" s="3454"/>
      <c r="Q30" s="92">
        <v>10</v>
      </c>
      <c r="R30" s="856">
        <f>-SUM(B32:K32)</f>
        <v>13400</v>
      </c>
      <c r="S30" s="856">
        <f>SUM(B33:K33)+R30</f>
        <v>375706.87805154943</v>
      </c>
      <c r="Z30" s="1631" t="s">
        <v>4357</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52"/>
      <c r="O31" s="3454"/>
      <c r="Q31" s="92">
        <v>11</v>
      </c>
      <c r="R31" s="856">
        <f>-SUM(B32:K32)-B64</f>
        <v>13400</v>
      </c>
      <c r="S31" s="856">
        <f>SUM(B33:K33)+B65+R31</f>
        <v>402545.59263752401</v>
      </c>
      <c r="Z31" s="1631" t="s">
        <v>4357</v>
      </c>
      <c r="AA31" s="1633">
        <v>31</v>
      </c>
    </row>
    <row r="32" spans="1:27" ht="13.35" customHeight="1">
      <c r="A32" s="340" t="s">
        <v>3272</v>
      </c>
      <c r="B32" s="179">
        <f>-MIN('Part II-Sources of Funds'!$I$45,SUM(B25:B31))</f>
        <v>-13400</v>
      </c>
      <c r="C32" s="179">
        <f>-MIN('Part II-Sources of Funds'!$I$45+SUM($B32:B32),SUM(C25:C31))</f>
        <v>0</v>
      </c>
      <c r="D32" s="179">
        <f>-MIN('Part II-Sources of Funds'!$I$45+SUM($B32:C32),SUM(D25:D31))</f>
        <v>0</v>
      </c>
      <c r="E32" s="179">
        <f>-MIN('Part II-Sources of Funds'!$I$45+SUM($B32:D32),SUM(E25:E31))</f>
        <v>0</v>
      </c>
      <c r="F32" s="179">
        <f>-MIN('Part II-Sources of Funds'!$I$45+SUM($B32:E32),SUM(F25:F31))</f>
        <v>0</v>
      </c>
      <c r="G32" s="179">
        <f>-MIN('Part II-Sources of Funds'!$I$45+SUM($B32:F32),SUM(G25:G31))</f>
        <v>0</v>
      </c>
      <c r="H32" s="179">
        <f>-MIN('Part II-Sources of Funds'!$I$45+SUM($B32:G32),SUM(H25:H31))</f>
        <v>0</v>
      </c>
      <c r="I32" s="179">
        <f>-MIN('Part II-Sources of Funds'!$I$45+SUM($B32:H32),SUM(I25:I31))</f>
        <v>0</v>
      </c>
      <c r="J32" s="179">
        <f>-MIN('Part II-Sources of Funds'!$I$45+SUM($B32:I32),SUM(J25:J31))</f>
        <v>0</v>
      </c>
      <c r="K32" s="179">
        <f>-MIN('Part II-Sources of Funds'!$I$45+SUM($B32:J32),SUM(K25:K31))</f>
        <v>0</v>
      </c>
      <c r="N32" s="3452"/>
      <c r="O32" s="3454"/>
      <c r="Q32" s="92">
        <v>12</v>
      </c>
      <c r="R32" s="856">
        <f>-SUM(B32:K32) - SUM(B64:C64)</f>
        <v>13400</v>
      </c>
      <c r="S32" s="856">
        <f>SUM(B33:K33) + SUM(B65:C65)+R32</f>
        <v>426859.08442105912</v>
      </c>
      <c r="Z32" s="1631" t="s">
        <v>4357</v>
      </c>
      <c r="AA32" s="1633">
        <v>32</v>
      </c>
    </row>
    <row r="33" spans="1:27" ht="13.35" customHeight="1">
      <c r="A33" s="17" t="s">
        <v>1095</v>
      </c>
      <c r="B33" s="18">
        <f t="shared" ref="B33:K33" si="9">SUM(B25:B32)</f>
        <v>31026.507384253244</v>
      </c>
      <c r="C33" s="18">
        <f t="shared" si="9"/>
        <v>43213.516984253234</v>
      </c>
      <c r="D33" s="18">
        <f t="shared" si="9"/>
        <v>41893.188776253271</v>
      </c>
      <c r="E33" s="18">
        <f t="shared" si="9"/>
        <v>40460.059064093221</v>
      </c>
      <c r="F33" s="18">
        <f t="shared" si="9"/>
        <v>38909.49936949012</v>
      </c>
      <c r="G33" s="18">
        <f t="shared" si="9"/>
        <v>37235.710871148869</v>
      </c>
      <c r="H33" s="18">
        <f t="shared" si="9"/>
        <v>35434.718664699336</v>
      </c>
      <c r="I33" s="18">
        <f t="shared" si="9"/>
        <v>33499.365837835197</v>
      </c>
      <c r="J33" s="18">
        <f t="shared" si="9"/>
        <v>31426.307354859731</v>
      </c>
      <c r="K33" s="19">
        <f t="shared" si="9"/>
        <v>29208.00374466322</v>
      </c>
      <c r="N33" s="3452"/>
      <c r="O33" s="3454"/>
      <c r="Q33" s="92">
        <v>13</v>
      </c>
      <c r="R33" s="856">
        <f>-SUM(B32:K32) - SUM(B64:D64)</f>
        <v>13400</v>
      </c>
      <c r="S33" s="856">
        <f>SUM(B33:K33) + SUM(B65:D65)+R33</f>
        <v>448483.257049712</v>
      </c>
      <c r="Z33" s="1631" t="s">
        <v>4357</v>
      </c>
      <c r="AA33" s="1633">
        <v>33</v>
      </c>
    </row>
    <row r="34" spans="1:27" ht="13.35" customHeight="1">
      <c r="A34" s="17" t="str">
        <f>IF('Part II-Sources of Funds'!$E$40 = "Neither", "", "DCR Mortgage A")</f>
        <v>DCR Mortgage A</v>
      </c>
      <c r="B34" s="20">
        <f t="shared" ref="B34:K34" si="10">IF(B26=0,"",-B25/B26)</f>
        <v>2.6590545386755808</v>
      </c>
      <c r="C34" s="20">
        <f t="shared" si="10"/>
        <v>2.6183391951283439</v>
      </c>
      <c r="D34" s="20">
        <f t="shared" si="10"/>
        <v>2.5740209411802284</v>
      </c>
      <c r="E34" s="20">
        <f t="shared" si="10"/>
        <v>2.5259163819204442</v>
      </c>
      <c r="F34" s="20">
        <f t="shared" si="10"/>
        <v>2.4738701574356803</v>
      </c>
      <c r="G34" s="20">
        <f t="shared" si="10"/>
        <v>2.4176876239750875</v>
      </c>
      <c r="H34" s="20">
        <f t="shared" si="10"/>
        <v>2.3572353595453865</v>
      </c>
      <c r="I34" s="20">
        <f t="shared" si="10"/>
        <v>2.2922731345921723</v>
      </c>
      <c r="J34" s="20">
        <f t="shared" si="10"/>
        <v>2.2226886693500241</v>
      </c>
      <c r="K34" s="21">
        <f t="shared" si="10"/>
        <v>2.1482288932617495</v>
      </c>
      <c r="N34" s="3452"/>
      <c r="O34" s="3454"/>
      <c r="Q34" s="92">
        <v>14</v>
      </c>
      <c r="R34" s="856">
        <f>-SUM(B32:K32) - SUM(B64:E64)</f>
        <v>13400</v>
      </c>
      <c r="S34" s="856">
        <f>SUM(B33:K33) + SUM(B65:E65)+R34</f>
        <v>467248.6296870989</v>
      </c>
      <c r="Z34" s="1631" t="s">
        <v>4357</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13400</v>
      </c>
      <c r="S35" s="856">
        <f>SUM(B33:K33) + SUM(B65:F65)+R35</f>
        <v>482978.10784650978</v>
      </c>
      <c r="Z35" s="1631" t="s">
        <v>4357</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13400</v>
      </c>
      <c r="S36" s="856">
        <f>SUM(B33:K33) + SUM(B65:G65)+R36</f>
        <v>495487.74659689388</v>
      </c>
      <c r="Z36" s="1631" t="s">
        <v>4357</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13400</v>
      </c>
      <c r="S37" s="856">
        <f>SUM(B33:K33) + SUM(B65:H65)+R37</f>
        <v>504586.50589733501</v>
      </c>
      <c r="Z37" s="1631" t="s">
        <v>4357</v>
      </c>
      <c r="AA37" s="1633">
        <v>37</v>
      </c>
    </row>
    <row r="38" spans="1:27" ht="13.35" customHeight="1">
      <c r="A38" s="340" t="s">
        <v>3128</v>
      </c>
      <c r="B38" s="20">
        <f t="shared" ref="B38:K38" si="14">IF(AND(B26=0,B27=0,B28=0,B29=0),"",-B25/(B26+B27+B28+B29))</f>
        <v>2.6590545386755808</v>
      </c>
      <c r="C38" s="20">
        <f t="shared" si="14"/>
        <v>2.6183391951283439</v>
      </c>
      <c r="D38" s="20">
        <f t="shared" si="14"/>
        <v>2.5740209411802284</v>
      </c>
      <c r="E38" s="20">
        <f t="shared" si="14"/>
        <v>2.5259163819204442</v>
      </c>
      <c r="F38" s="20">
        <f t="shared" si="14"/>
        <v>2.4738701574356803</v>
      </c>
      <c r="G38" s="20">
        <f t="shared" si="14"/>
        <v>2.4176876239750875</v>
      </c>
      <c r="H38" s="20">
        <f t="shared" si="14"/>
        <v>2.3572353595453865</v>
      </c>
      <c r="I38" s="20">
        <f t="shared" si="14"/>
        <v>2.2922731345921723</v>
      </c>
      <c r="J38" s="20">
        <f t="shared" si="14"/>
        <v>2.2226886693500241</v>
      </c>
      <c r="K38" s="21">
        <f t="shared" si="14"/>
        <v>2.1482288932617495</v>
      </c>
      <c r="N38" s="3452"/>
      <c r="O38" s="3454"/>
      <c r="Q38" s="47">
        <v>18</v>
      </c>
      <c r="R38" s="856">
        <f>-SUM(B32:K32) - SUM(B64:I64)</f>
        <v>13400</v>
      </c>
      <c r="S38" s="856">
        <f>SUM(B33:K33) + SUM(B65:I65)+R38</f>
        <v>510074.99780851637</v>
      </c>
      <c r="Z38" s="1631" t="s">
        <v>4357</v>
      </c>
      <c r="AA38" s="1633">
        <v>38</v>
      </c>
    </row>
    <row r="39" spans="1:27" ht="13.35" customHeight="1">
      <c r="A39" s="17" t="s">
        <v>717</v>
      </c>
      <c r="B39" s="220">
        <f t="shared" ref="B39:K39" si="15">IF(OR(B22="Choose mgt fee",B22="Choose One!"),"",(B15+B16+B17+B18+B19) / -(B21+B22+B23))</f>
        <v>1.2583166379715134</v>
      </c>
      <c r="C39" s="220">
        <f t="shared" si="15"/>
        <v>1.2471634903112392</v>
      </c>
      <c r="D39" s="220">
        <f t="shared" si="15"/>
        <v>1.2361030557049881</v>
      </c>
      <c r="E39" s="220">
        <f t="shared" si="15"/>
        <v>1.2251315579313651</v>
      </c>
      <c r="F39" s="220">
        <f t="shared" si="15"/>
        <v>1.2142492163129537</v>
      </c>
      <c r="G39" s="220">
        <f t="shared" si="15"/>
        <v>1.2034527518720273</v>
      </c>
      <c r="H39" s="220">
        <f t="shared" si="15"/>
        <v>1.1927458447879313</v>
      </c>
      <c r="I39" s="220">
        <f t="shared" si="15"/>
        <v>1.1821221222806422</v>
      </c>
      <c r="J39" s="220">
        <f t="shared" si="15"/>
        <v>1.1715882127437489</v>
      </c>
      <c r="K39" s="221">
        <f t="shared" si="15"/>
        <v>1.1611380311842618</v>
      </c>
      <c r="N39" s="3452"/>
      <c r="O39" s="3454"/>
      <c r="Q39" s="92">
        <v>19</v>
      </c>
      <c r="R39" s="856">
        <f>-SUM(B32:K32) - SUM(B64:J64)</f>
        <v>13400</v>
      </c>
      <c r="S39" s="856">
        <f>SUM(B33:K33) + SUM(B65:J65)+R39</f>
        <v>511747.22532182501</v>
      </c>
      <c r="Z39" s="1631" t="s">
        <v>4357</v>
      </c>
      <c r="AA39" s="1633">
        <v>39</v>
      </c>
    </row>
    <row r="40" spans="1:27" ht="13.35" customHeight="1">
      <c r="A40" s="340" t="s">
        <v>2399</v>
      </c>
      <c r="B40" s="177">
        <f>IF('Part II-Sources of Funds'!$I$40="","",-FV('Part II-Sources of Funds'!$K$40/12,12,B26/12,'Part II-Sources of Funds'!$I$40))</f>
        <v>484289.89162069233</v>
      </c>
      <c r="C40" s="177">
        <f>IF('Part II-Sources of Funds'!$I$40="","",-FV('Part II-Sources of Funds'!$K$40/12,12,C26/12,B40))</f>
        <v>475927.68464755517</v>
      </c>
      <c r="D40" s="177">
        <f>IF('Part II-Sources of Funds'!$I$40="","",-FV('Part II-Sources of Funds'!$K$40/12,12,D26/12,C40))</f>
        <v>467184.80418815871</v>
      </c>
      <c r="E40" s="177">
        <f>IF('Part II-Sources of Funds'!$I$40="","",-FV('Part II-Sources of Funds'!$K$40/12,12,E26/12,D40))</f>
        <v>458043.92080978194</v>
      </c>
      <c r="F40" s="177">
        <f>IF('Part II-Sources of Funds'!$I$40="","",-FV('Part II-Sources of Funds'!$K$40/12,12,F26/12,E40))</f>
        <v>448486.91619040805</v>
      </c>
      <c r="G40" s="177">
        <f>IF('Part II-Sources of Funds'!$I$40="","",-FV('Part II-Sources of Funds'!$K$40/12,12,G26/12,F40))</f>
        <v>438494.84720604774</v>
      </c>
      <c r="H40" s="177">
        <f>IF('Part II-Sources of Funds'!$I$40="","",-FV('Part II-Sources of Funds'!$K$40/12,12,H26/12,G40))</f>
        <v>428047.90838320594</v>
      </c>
      <c r="I40" s="177">
        <f>IF('Part II-Sources of Funds'!$I$40="","",-FV('Part II-Sources of Funds'!$K$40/12,12,I26/12,H40))</f>
        <v>417125.39264206926</v>
      </c>
      <c r="J40" s="177">
        <f>IF('Part II-Sources of Funds'!$I$40="","",-FV('Part II-Sources of Funds'!$K$40/12,12,J26/12,I40))</f>
        <v>405705.65025260195</v>
      </c>
      <c r="K40" s="177">
        <f>IF('Part II-Sources of Funds'!$I$40="","",-FV('Part II-Sources of Funds'!$K$40/12,12,K26/12,J40))</f>
        <v>393766.04592219647</v>
      </c>
      <c r="N40" s="3452"/>
      <c r="O40" s="3454"/>
      <c r="Q40" s="92">
        <v>20</v>
      </c>
      <c r="R40" s="856">
        <f>-SUM(B32:K32) - SUM(B64:K64)</f>
        <v>13400</v>
      </c>
      <c r="S40" s="856">
        <f>SUM(B33:K33) + SUM(B65:K65)+R40</f>
        <v>509387.31253865117</v>
      </c>
      <c r="Z40" s="1631" t="s">
        <v>4357</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4357</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4357</v>
      </c>
      <c r="AA43" s="1633">
        <v>43</v>
      </c>
    </row>
    <row r="44" spans="1:27" ht="13.35" customHeight="1">
      <c r="A44" s="340" t="s">
        <v>3273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4357</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495886.93005386717</v>
      </c>
      <c r="C47" s="15">
        <f t="shared" si="17"/>
        <v>505804.66865494446</v>
      </c>
      <c r="D47" s="15">
        <f t="shared" si="17"/>
        <v>515920.76202804339</v>
      </c>
      <c r="E47" s="15">
        <f t="shared" si="17"/>
        <v>526239.17726860428</v>
      </c>
      <c r="F47" s="15">
        <f t="shared" si="17"/>
        <v>536763.96081397636</v>
      </c>
      <c r="G47" s="15">
        <f t="shared" si="17"/>
        <v>547499.24003025575</v>
      </c>
      <c r="H47" s="15">
        <f t="shared" si="17"/>
        <v>558449.22483086097</v>
      </c>
      <c r="I47" s="15">
        <f t="shared" si="17"/>
        <v>569618.20932747819</v>
      </c>
      <c r="J47" s="15">
        <f t="shared" si="17"/>
        <v>581010.57351402775</v>
      </c>
      <c r="K47" s="16">
        <f t="shared" si="17"/>
        <v>592630.78498430829</v>
      </c>
      <c r="N47" s="3476"/>
      <c r="O47" s="3478"/>
      <c r="Z47" s="1631" t="s">
        <v>4358</v>
      </c>
      <c r="AA47" s="1633">
        <v>47</v>
      </c>
    </row>
    <row r="48" spans="1:27" ht="13.35" customHeight="1">
      <c r="A48" s="17" t="s">
        <v>951</v>
      </c>
      <c r="B48" s="18">
        <f t="shared" ref="B48:K48" si="18">$B$16*(1+$B$6)^(B46-1)</f>
        <v>9917.7386010773444</v>
      </c>
      <c r="C48" s="18">
        <f t="shared" si="18"/>
        <v>10116.093373098889</v>
      </c>
      <c r="D48" s="18">
        <f t="shared" si="18"/>
        <v>10318.415240560867</v>
      </c>
      <c r="E48" s="18">
        <f t="shared" si="18"/>
        <v>10524.783545372085</v>
      </c>
      <c r="F48" s="18">
        <f t="shared" si="18"/>
        <v>10735.279216279529</v>
      </c>
      <c r="G48" s="18">
        <f t="shared" si="18"/>
        <v>10949.984800605116</v>
      </c>
      <c r="H48" s="18">
        <f t="shared" si="18"/>
        <v>11168.98449661722</v>
      </c>
      <c r="I48" s="18">
        <f t="shared" si="18"/>
        <v>11392.364186549565</v>
      </c>
      <c r="J48" s="18">
        <f t="shared" si="18"/>
        <v>11620.211470280556</v>
      </c>
      <c r="K48" s="19">
        <f t="shared" si="18"/>
        <v>11852.615699686166</v>
      </c>
      <c r="N48" s="3452"/>
      <c r="O48" s="3454"/>
      <c r="Z48" s="1631" t="s">
        <v>4358</v>
      </c>
      <c r="AA48" s="1633">
        <v>48</v>
      </c>
    </row>
    <row r="49" spans="1:27" ht="13.35" customHeight="1">
      <c r="A49" s="17" t="s">
        <v>2210</v>
      </c>
      <c r="B49" s="18">
        <f t="shared" ref="B49:K49" si="19">-(B47+B48)*$B$9</f>
        <v>-35406.326805846118</v>
      </c>
      <c r="C49" s="18">
        <f t="shared" si="19"/>
        <v>-36114.453341963039</v>
      </c>
      <c r="D49" s="18">
        <f t="shared" si="19"/>
        <v>-36836.742408802304</v>
      </c>
      <c r="E49" s="18">
        <f t="shared" si="19"/>
        <v>-37573.477256978345</v>
      </c>
      <c r="F49" s="18">
        <f t="shared" si="19"/>
        <v>-38324.946802117913</v>
      </c>
      <c r="G49" s="18">
        <f t="shared" si="19"/>
        <v>-39091.445738160262</v>
      </c>
      <c r="H49" s="18">
        <f t="shared" si="19"/>
        <v>-39873.274652923479</v>
      </c>
      <c r="I49" s="18">
        <f t="shared" si="19"/>
        <v>-40670.740145981945</v>
      </c>
      <c r="J49" s="18">
        <f t="shared" si="19"/>
        <v>-41484.154948901582</v>
      </c>
      <c r="K49" s="19">
        <f t="shared" si="19"/>
        <v>-42313.83804787961</v>
      </c>
      <c r="N49" s="3452"/>
      <c r="O49" s="3454"/>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4358</v>
      </c>
      <c r="AA51" s="1633">
        <v>51</v>
      </c>
    </row>
    <row r="52" spans="1:27" ht="13.35" customHeight="1">
      <c r="A52" s="340" t="s">
        <v>3713</v>
      </c>
      <c r="B52" s="18">
        <f t="shared" ref="B52:K52" si="20">SUM(B47:B51)</f>
        <v>470398.34184909839</v>
      </c>
      <c r="C52" s="18">
        <f t="shared" si="20"/>
        <v>479806.30868608027</v>
      </c>
      <c r="D52" s="18">
        <f t="shared" si="20"/>
        <v>489402.43485980196</v>
      </c>
      <c r="E52" s="18">
        <f t="shared" si="20"/>
        <v>499190.48355699802</v>
      </c>
      <c r="F52" s="18">
        <f t="shared" si="20"/>
        <v>509174.29322813795</v>
      </c>
      <c r="G52" s="18">
        <f t="shared" si="20"/>
        <v>519357.77909270057</v>
      </c>
      <c r="H52" s="18">
        <f t="shared" si="20"/>
        <v>529744.93467455474</v>
      </c>
      <c r="I52" s="18">
        <f t="shared" si="20"/>
        <v>540339.83336804586</v>
      </c>
      <c r="J52" s="18">
        <f t="shared" si="20"/>
        <v>551146.63003540668</v>
      </c>
      <c r="K52" s="19">
        <f t="shared" si="20"/>
        <v>562169.56263611477</v>
      </c>
      <c r="N52" s="3452"/>
      <c r="O52" s="3454"/>
      <c r="Z52" s="1631" t="s">
        <v>4358</v>
      </c>
      <c r="AA52" s="1633">
        <v>52</v>
      </c>
    </row>
    <row r="53" spans="1:27" ht="13.35" customHeight="1">
      <c r="A53" s="17" t="s">
        <v>571</v>
      </c>
      <c r="B53" s="18">
        <f t="shared" ref="B53:K53" si="21">$B$21*(1+$B$7)^(B46-1)</f>
        <v>-356487.25878482172</v>
      </c>
      <c r="C53" s="18">
        <f t="shared" si="21"/>
        <v>-367181.87654836639</v>
      </c>
      <c r="D53" s="18">
        <f t="shared" si="21"/>
        <v>-378197.33284481737</v>
      </c>
      <c r="E53" s="18">
        <f t="shared" si="21"/>
        <v>-389543.25283016183</v>
      </c>
      <c r="F53" s="18">
        <f t="shared" si="21"/>
        <v>-401229.55041506677</v>
      </c>
      <c r="G53" s="18">
        <f t="shared" si="21"/>
        <v>-413266.43692751875</v>
      </c>
      <c r="H53" s="18">
        <f t="shared" si="21"/>
        <v>-425664.43003534427</v>
      </c>
      <c r="I53" s="18">
        <f t="shared" si="21"/>
        <v>-438434.36293640459</v>
      </c>
      <c r="J53" s="18">
        <f t="shared" si="21"/>
        <v>-451587.39382449671</v>
      </c>
      <c r="K53" s="19">
        <f t="shared" si="21"/>
        <v>-465135.0156392316</v>
      </c>
      <c r="N53" s="3452"/>
      <c r="O53" s="3454"/>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-32928</v>
      </c>
      <c r="C54" s="18">
        <f>IF(AND('Part VI-Pro Forma'!$G$9="Yes",'Part VI-Pro Forma'!$G$10="Yes"),"Choose One!",IF('Part VI-Pro Forma'!$G$9="Yes",ROUND((-$K$9*(1+'Part VI-Pro Forma'!$B$7)^('Part VI-Pro Forma'!C46-1)),),IF('Part VI-Pro Forma'!$G$10="Yes",ROUND((-(SUM(C47:C50)*'Part VI-Pro Forma'!$K$10)),),"Choose mgt fee")))</f>
        <v>-33586</v>
      </c>
      <c r="D54" s="18">
        <f>IF(AND('Part VI-Pro Forma'!$G$9="Yes",'Part VI-Pro Forma'!$G$10="Yes"),"Choose One!",IF('Part VI-Pro Forma'!$G$9="Yes",ROUND((-$K$9*(1+'Part VI-Pro Forma'!$B$7)^('Part VI-Pro Forma'!D46-1)),),IF('Part VI-Pro Forma'!$G$10="Yes",ROUND((-(SUM(D47:D50)*'Part VI-Pro Forma'!$K$10)),),"Choose mgt fee")))</f>
        <v>-34258</v>
      </c>
      <c r="E54" s="18">
        <f>IF(AND('Part VI-Pro Forma'!$G$9="Yes",'Part VI-Pro Forma'!$G$10="Yes"),"Choose One!",IF('Part VI-Pro Forma'!$G$9="Yes",ROUND((-$K$9*(1+'Part VI-Pro Forma'!$B$7)^('Part VI-Pro Forma'!E46-1)),),IF('Part VI-Pro Forma'!$G$10="Yes",ROUND((-(SUM(E47:E50)*'Part VI-Pro Forma'!$K$10)),),"Choose mgt fee")))</f>
        <v>-34943</v>
      </c>
      <c r="F54" s="18">
        <f>IF(AND('Part VI-Pro Forma'!$G$9="Yes",'Part VI-Pro Forma'!$G$10="Yes"),"Choose One!",IF('Part VI-Pro Forma'!$G$9="Yes",ROUND((-$K$9*(1+'Part VI-Pro Forma'!$B$7)^('Part VI-Pro Forma'!F46-1)),),IF('Part VI-Pro Forma'!$G$10="Yes",ROUND((-(SUM(F47:F50)*'Part VI-Pro Forma'!$K$10)),),"Choose mgt fee")))</f>
        <v>-35642</v>
      </c>
      <c r="G54" s="18">
        <f>IF(AND('Part VI-Pro Forma'!$G$9="Yes",'Part VI-Pro Forma'!$G$10="Yes"),"Choose One!",IF('Part VI-Pro Forma'!$G$9="Yes",ROUND((-$K$9*(1+'Part VI-Pro Forma'!$B$7)^('Part VI-Pro Forma'!G46-1)),),IF('Part VI-Pro Forma'!$G$10="Yes",ROUND((-(SUM(G47:G50)*'Part VI-Pro Forma'!$K$10)),),"Choose mgt fee")))</f>
        <v>-36355</v>
      </c>
      <c r="H54" s="18">
        <f>IF(AND('Part VI-Pro Forma'!$G$9="Yes",'Part VI-Pro Forma'!$G$10="Yes"),"Choose One!",IF('Part VI-Pro Forma'!$G$9="Yes",ROUND((-$K$9*(1+'Part VI-Pro Forma'!$B$7)^('Part VI-Pro Forma'!H46-1)),),IF('Part VI-Pro Forma'!$G$10="Yes",ROUND((-(SUM(H47:H50)*'Part VI-Pro Forma'!$K$10)),),"Choose mgt fee")))</f>
        <v>-37082</v>
      </c>
      <c r="I54" s="18">
        <f>IF(AND('Part VI-Pro Forma'!$G$9="Yes",'Part VI-Pro Forma'!$G$10="Yes"),"Choose One!",IF('Part VI-Pro Forma'!$G$9="Yes",ROUND((-$K$9*(1+'Part VI-Pro Forma'!$B$7)^('Part VI-Pro Forma'!I46-1)),),IF('Part VI-Pro Forma'!$G$10="Yes",ROUND((-(SUM(I47:I50)*'Part VI-Pro Forma'!$K$10)),),"Choose mgt fee")))</f>
        <v>-37824</v>
      </c>
      <c r="J54" s="18">
        <f>IF(AND('Part VI-Pro Forma'!$G$9="Yes",'Part VI-Pro Forma'!$G$10="Yes"),"Choose One!",IF('Part VI-Pro Forma'!$G$9="Yes",ROUND((-$K$9*(1+'Part VI-Pro Forma'!$B$7)^('Part VI-Pro Forma'!J46-1)),),IF('Part VI-Pro Forma'!$G$10="Yes",ROUND((-(SUM(J47:J50)*'Part VI-Pro Forma'!$K$10)),),"Choose mgt fee")))</f>
        <v>-38580</v>
      </c>
      <c r="K54" s="19">
        <f>IF(AND('Part VI-Pro Forma'!$G$9="Yes",'Part VI-Pro Forma'!$G$10="Yes"),"Choose One!",IF('Part VI-Pro Forma'!$G$9="Yes",ROUND((-$K$9*(1+'Part VI-Pro Forma'!$B$7)^('Part VI-Pro Forma'!K46-1)),),IF('Part VI-Pro Forma'!$G$10="Yes",ROUND((-(SUM(K47:K50)*'Part VI-Pro Forma'!$K$10)),),"Choose mgt fee")))</f>
        <v>-39352</v>
      </c>
      <c r="N54" s="3452"/>
      <c r="O54" s="3454"/>
      <c r="Z54" s="1631" t="s">
        <v>4358</v>
      </c>
      <c r="AA54" s="1633">
        <v>54</v>
      </c>
    </row>
    <row r="55" spans="1:27" ht="13.35" customHeight="1">
      <c r="A55" s="17" t="s">
        <v>1127</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452"/>
      <c r="O55" s="3454"/>
      <c r="Q55" s="92"/>
      <c r="R55" s="856"/>
      <c r="S55" s="856"/>
      <c r="Z55" s="1631" t="s">
        <v>4358</v>
      </c>
      <c r="AA55" s="1633">
        <v>55</v>
      </c>
    </row>
    <row r="56" spans="1:27" ht="13.35"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4358</v>
      </c>
      <c r="AA56" s="1633">
        <v>56</v>
      </c>
    </row>
    <row r="57" spans="1:27" ht="13.35" customHeight="1">
      <c r="A57" s="17" t="s">
        <v>1128</v>
      </c>
      <c r="B57" s="18">
        <f t="shared" ref="B57:K57" si="23">SUM(B52:B56)</f>
        <v>61630.687201721317</v>
      </c>
      <c r="C57" s="18">
        <f t="shared" si="23"/>
        <v>59105.464399281867</v>
      </c>
      <c r="D57" s="18">
        <f t="shared" si="23"/>
        <v>56416.14524439961</v>
      </c>
      <c r="E57" s="18">
        <f t="shared" si="23"/>
        <v>53557.345253133666</v>
      </c>
      <c r="F57" s="18">
        <f t="shared" si="23"/>
        <v>50521.45077515758</v>
      </c>
      <c r="G57" s="18">
        <f t="shared" si="23"/>
        <v>47301.611366130812</v>
      </c>
      <c r="H57" s="18">
        <f t="shared" si="23"/>
        <v>43890.731916187935</v>
      </c>
      <c r="I57" s="18">
        <f t="shared" si="23"/>
        <v>40280.464526928059</v>
      </c>
      <c r="J57" s="18">
        <f t="shared" si="23"/>
        <v>36464.20012905536</v>
      </c>
      <c r="K57" s="1156">
        <f t="shared" si="23"/>
        <v>32432.05983257293</v>
      </c>
      <c r="N57" s="3452"/>
      <c r="O57" s="3454"/>
      <c r="Z57" s="1631" t="s">
        <v>4358</v>
      </c>
      <c r="AA57" s="1633">
        <v>57</v>
      </c>
    </row>
    <row r="58" spans="1:27" ht="13.35" customHeight="1">
      <c r="A58" s="17" t="str">
        <f>$A26</f>
        <v>Mortgage A</v>
      </c>
      <c r="B58" s="341">
        <f>IF('Part II-Sources of Funds'!$P$40="", 0,-'Part II-Sources of Funds'!$P$40)</f>
        <v>-29791.972615746738</v>
      </c>
      <c r="C58" s="341">
        <f>IF('Part II-Sources of Funds'!$P$40="", 0,-'Part II-Sources of Funds'!$P$40)</f>
        <v>-29791.972615746738</v>
      </c>
      <c r="D58" s="341">
        <f>IF('Part II-Sources of Funds'!$P$40="", 0,-'Part II-Sources of Funds'!$P$40)</f>
        <v>-29791.972615746738</v>
      </c>
      <c r="E58" s="341">
        <f>IF('Part II-Sources of Funds'!$P$40="", 0,-'Part II-Sources of Funds'!$P$40)</f>
        <v>-29791.972615746738</v>
      </c>
      <c r="F58" s="341">
        <f>IF('Part II-Sources of Funds'!$P$40="", 0,-'Part II-Sources of Funds'!$P$40)</f>
        <v>-29791.972615746738</v>
      </c>
      <c r="G58" s="341">
        <f>IF('Part II-Sources of Funds'!$P$40="", 0,-'Part II-Sources of Funds'!$P$40)</f>
        <v>-29791.972615746738</v>
      </c>
      <c r="H58" s="341">
        <f>IF('Part II-Sources of Funds'!$P$40="", 0,-'Part II-Sources of Funds'!$P$40)</f>
        <v>-29791.972615746738</v>
      </c>
      <c r="I58" s="341">
        <f>IF('Part II-Sources of Funds'!$P$40="", 0,-'Part II-Sources of Funds'!$P$40)</f>
        <v>-29791.972615746738</v>
      </c>
      <c r="J58" s="341">
        <f>IF('Part II-Sources of Funds'!$P$40="", 0,-'Part II-Sources of Funds'!$P$40)</f>
        <v>-29791.972615746738</v>
      </c>
      <c r="K58" s="341">
        <f>IF('Part II-Sources of Funds'!$P$40="", 0,-'Part II-Sources of Funds'!$P$40)</f>
        <v>-29791.972615746738</v>
      </c>
      <c r="N58" s="3452"/>
      <c r="O58" s="3454"/>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4358</v>
      </c>
      <c r="AA61" s="1633">
        <v>61</v>
      </c>
    </row>
    <row r="62" spans="1:27" ht="13.35" customHeight="1">
      <c r="A62" s="17" t="s">
        <v>710</v>
      </c>
      <c r="B62" s="138"/>
      <c r="C62" s="138"/>
      <c r="D62" s="138"/>
      <c r="E62" s="138"/>
      <c r="F62" s="138"/>
      <c r="G62" s="138"/>
      <c r="H62" s="138"/>
      <c r="I62" s="138"/>
      <c r="J62" s="138"/>
      <c r="K62" s="138"/>
      <c r="N62" s="3452"/>
      <c r="O62" s="3454"/>
      <c r="Q62" s="92"/>
      <c r="R62" s="856"/>
      <c r="Z62" s="1631" t="s">
        <v>4358</v>
      </c>
      <c r="AA62" s="1633">
        <v>62</v>
      </c>
    </row>
    <row r="63" spans="1:27" ht="13.35" customHeight="1">
      <c r="A63" s="340" t="s">
        <v>1094</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452"/>
      <c r="O63" s="3454"/>
      <c r="Z63" s="1631" t="s">
        <v>4358</v>
      </c>
      <c r="AA63" s="1633">
        <v>63</v>
      </c>
    </row>
    <row r="64" spans="1:27" ht="13.35" customHeight="1">
      <c r="A64" s="340" t="s">
        <v>3272</v>
      </c>
      <c r="B64" s="179">
        <v>0</v>
      </c>
      <c r="C64" s="179">
        <v>0</v>
      </c>
      <c r="D64" s="179">
        <v>0</v>
      </c>
      <c r="E64" s="179">
        <v>0</v>
      </c>
      <c r="F64" s="179">
        <v>0</v>
      </c>
      <c r="G64" s="179"/>
      <c r="H64" s="179"/>
      <c r="I64" s="179"/>
      <c r="J64" s="179"/>
      <c r="K64" s="179"/>
      <c r="N64" s="3452"/>
      <c r="O64" s="3454"/>
      <c r="Z64" s="1631" t="s">
        <v>4358</v>
      </c>
      <c r="AA64" s="1633">
        <v>64</v>
      </c>
    </row>
    <row r="65" spans="1:27" ht="13.35" customHeight="1">
      <c r="A65" s="17" t="s">
        <v>1095</v>
      </c>
      <c r="B65" s="18">
        <f t="shared" ref="B65:K65" si="25">SUM(B57:B64)</f>
        <v>26838.71458597458</v>
      </c>
      <c r="C65" s="18">
        <f t="shared" si="25"/>
        <v>24313.49178353513</v>
      </c>
      <c r="D65" s="18">
        <f t="shared" si="25"/>
        <v>21624.172628652872</v>
      </c>
      <c r="E65" s="18">
        <f t="shared" si="25"/>
        <v>18765.372637386929</v>
      </c>
      <c r="F65" s="18">
        <f t="shared" si="25"/>
        <v>15729.478159410843</v>
      </c>
      <c r="G65" s="18">
        <f t="shared" si="25"/>
        <v>12509.638750384074</v>
      </c>
      <c r="H65" s="18">
        <f t="shared" si="25"/>
        <v>9098.7593004411974</v>
      </c>
      <c r="I65" s="18">
        <f t="shared" si="25"/>
        <v>5488.4919111813215</v>
      </c>
      <c r="J65" s="18">
        <f t="shared" si="25"/>
        <v>1672.2275133086223</v>
      </c>
      <c r="K65" s="496">
        <f t="shared" si="25"/>
        <v>-2359.9127831738078</v>
      </c>
      <c r="N65" s="3452"/>
      <c r="O65" s="3454"/>
      <c r="Z65" s="1631" t="s">
        <v>4358</v>
      </c>
      <c r="AA65" s="1633">
        <v>65</v>
      </c>
    </row>
    <row r="66" spans="1:27" ht="13.35" customHeight="1">
      <c r="A66" s="17" t="str">
        <f>$A34</f>
        <v>DCR Mortgage A</v>
      </c>
      <c r="B66" s="20">
        <f t="shared" ref="B66:K66" si="26">IF(B58=0,"",-B57/B58)</f>
        <v>2.0687011228368957</v>
      </c>
      <c r="C66" s="20">
        <f t="shared" si="26"/>
        <v>1.983939269870344</v>
      </c>
      <c r="D66" s="20">
        <f t="shared" si="26"/>
        <v>1.8936693441568382</v>
      </c>
      <c r="E66" s="20">
        <f t="shared" si="26"/>
        <v>1.7977106096299775</v>
      </c>
      <c r="F66" s="20">
        <f t="shared" si="26"/>
        <v>1.6958075058263897</v>
      </c>
      <c r="G66" s="20">
        <f t="shared" si="26"/>
        <v>1.5877300901226408</v>
      </c>
      <c r="H66" s="20">
        <f t="shared" si="26"/>
        <v>1.4732402074305482</v>
      </c>
      <c r="I66" s="20">
        <f t="shared" si="26"/>
        <v>1.3520576514506315</v>
      </c>
      <c r="J66" s="20">
        <f t="shared" si="26"/>
        <v>1.2239605815756549</v>
      </c>
      <c r="K66" s="21">
        <f t="shared" si="26"/>
        <v>1.0886174021061887</v>
      </c>
      <c r="N66" s="3452"/>
      <c r="O66" s="3454"/>
      <c r="Z66" s="1631" t="s">
        <v>4358</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4358</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4358</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4358</v>
      </c>
      <c r="AA69" s="1633">
        <v>69</v>
      </c>
    </row>
    <row r="70" spans="1:27" ht="13.35" customHeight="1">
      <c r="A70" s="340" t="s">
        <v>3128</v>
      </c>
      <c r="B70" s="20">
        <f t="shared" ref="B70:K70" si="30">IF(AND(B58=0,B59=0,B60=0,B61=0),"",-B57/(B58+B59+B60+B61))</f>
        <v>2.0687011228368957</v>
      </c>
      <c r="C70" s="20">
        <f t="shared" si="30"/>
        <v>1.983939269870344</v>
      </c>
      <c r="D70" s="20">
        <f t="shared" si="30"/>
        <v>1.8936693441568382</v>
      </c>
      <c r="E70" s="20">
        <f t="shared" si="30"/>
        <v>1.7977106096299775</v>
      </c>
      <c r="F70" s="20">
        <f t="shared" si="30"/>
        <v>1.6958075058263897</v>
      </c>
      <c r="G70" s="20">
        <f t="shared" si="30"/>
        <v>1.5877300901226408</v>
      </c>
      <c r="H70" s="20">
        <f t="shared" si="30"/>
        <v>1.4732402074305482</v>
      </c>
      <c r="I70" s="20">
        <f t="shared" si="30"/>
        <v>1.3520576514506315</v>
      </c>
      <c r="J70" s="20">
        <f t="shared" si="30"/>
        <v>1.2239605815756549</v>
      </c>
      <c r="K70" s="21">
        <f t="shared" si="30"/>
        <v>1.0886174021061887</v>
      </c>
      <c r="N70" s="3452"/>
      <c r="O70" s="3454"/>
      <c r="Z70" s="1631" t="s">
        <v>4358</v>
      </c>
      <c r="AA70" s="1633">
        <v>70</v>
      </c>
    </row>
    <row r="71" spans="1:27" ht="13.35" customHeight="1">
      <c r="A71" s="17" t="s">
        <v>717</v>
      </c>
      <c r="B71" s="220">
        <f t="shared" ref="B71:K71" si="31">IF(OR(B54="Choose mgt fee",B54="Choose One!"),"",(B47+B48+B49+B50+B51) / -(B53+B54+B55))</f>
        <v>1.1507719275266213</v>
      </c>
      <c r="C71" s="220">
        <f t="shared" si="31"/>
        <v>1.1404928590040784</v>
      </c>
      <c r="D71" s="220">
        <f t="shared" si="31"/>
        <v>1.1302954541459291</v>
      </c>
      <c r="E71" s="220">
        <f t="shared" si="31"/>
        <v>1.1201825911263683</v>
      </c>
      <c r="F71" s="220">
        <f t="shared" si="31"/>
        <v>1.1101518318407388</v>
      </c>
      <c r="G71" s="220">
        <f t="shared" si="31"/>
        <v>1.1002033541769747</v>
      </c>
      <c r="H71" s="220">
        <f t="shared" si="31"/>
        <v>1.0903372486375638</v>
      </c>
      <c r="I71" s="220">
        <f t="shared" si="31"/>
        <v>1.0805513645715259</v>
      </c>
      <c r="J71" s="220">
        <f t="shared" si="31"/>
        <v>1.0708479598491252</v>
      </c>
      <c r="K71" s="221">
        <f t="shared" si="31"/>
        <v>1.0612228880548045</v>
      </c>
      <c r="N71" s="3452"/>
      <c r="O71" s="3454"/>
      <c r="Z71" s="1631" t="s">
        <v>4358</v>
      </c>
      <c r="AA71" s="1633">
        <v>71</v>
      </c>
    </row>
    <row r="72" spans="1:27" ht="13.35" customHeight="1">
      <c r="A72" s="340" t="s">
        <v>2399</v>
      </c>
      <c r="B72" s="177">
        <f>IF('Part II-Sources of Funds'!$I$40="","",-FV('Part II-Sources of Funds'!$K$40/12,12,B58/12,K40))</f>
        <v>381282.91392982181</v>
      </c>
      <c r="C72" s="177">
        <f>IF('Part II-Sources of Funds'!$I$40="","",-FV('Part II-Sources of Funds'!$K$40/12,12,C58/12,B72))</f>
        <v>368231.51121773914</v>
      </c>
      <c r="D72" s="177">
        <f>IF('Part II-Sources of Funds'!$I$40="","",-FV('Part II-Sources of Funds'!$K$40/12,12,D58/12,C72))</f>
        <v>354585.96834780788</v>
      </c>
      <c r="E72" s="177">
        <f>IF('Part II-Sources of Funds'!$I$40="","",-FV('Part II-Sources of Funds'!$K$40/12,12,E58/12,D72))</f>
        <v>340319.23822517123</v>
      </c>
      <c r="F72" s="177">
        <f>IF('Part II-Sources of Funds'!$I$40="","",-FV('Part II-Sources of Funds'!$K$40/12,12,F58/12,E72))</f>
        <v>325403.04248768539</v>
      </c>
      <c r="G72" s="177">
        <f>IF('Part II-Sources of Funds'!$I$40="","",-FV('Part II-Sources of Funds'!$K$40/12,12,G58/12,F72))</f>
        <v>309807.81545483042</v>
      </c>
      <c r="H72" s="177">
        <f>IF('Part II-Sources of Funds'!$I$40="","",-FV('Part II-Sources of Funds'!$K$40/12,12,H58/12,G72))</f>
        <v>293502.6455250018</v>
      </c>
      <c r="I72" s="177">
        <f>IF('Part II-Sources of Funds'!$I$40="","",-FV('Part II-Sources of Funds'!$K$40/12,12,I58/12,H72))</f>
        <v>276455.21390502644</v>
      </c>
      <c r="J72" s="177">
        <f>IF('Part II-Sources of Funds'!$I$40="","",-FV('Part II-Sources of Funds'!$K$40/12,12,J58/12,I72))</f>
        <v>258631.73055045647</v>
      </c>
      <c r="K72" s="177">
        <f>IF('Part II-Sources of Funds'!$I$40="","",-FV('Part II-Sources of Funds'!$K$40/12,12,K58/12,J72))</f>
        <v>239996.86718966751</v>
      </c>
      <c r="N72" s="3452"/>
      <c r="O72" s="3454"/>
      <c r="Z72" s="1631" t="s">
        <v>4358</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4358</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4358</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4358</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604483.40068399452</v>
      </c>
      <c r="C79" s="15">
        <f t="shared" si="33"/>
        <v>616573.06869767432</v>
      </c>
      <c r="D79" s="15">
        <f t="shared" si="33"/>
        <v>628904.53007162781</v>
      </c>
      <c r="E79" s="15">
        <f t="shared" si="33"/>
        <v>641482.6206730603</v>
      </c>
      <c r="F79" s="15">
        <f t="shared" si="33"/>
        <v>654312.27308652154</v>
      </c>
      <c r="G79" s="15">
        <f t="shared" si="33"/>
        <v>667398.51854825194</v>
      </c>
      <c r="H79" s="15">
        <f t="shared" si="33"/>
        <v>680746.48891921714</v>
      </c>
      <c r="I79" s="15">
        <f t="shared" si="33"/>
        <v>694361.4186976013</v>
      </c>
      <c r="J79" s="15">
        <f t="shared" si="33"/>
        <v>708248.64707155351</v>
      </c>
      <c r="K79" s="16">
        <f t="shared" si="33"/>
        <v>722413.62001298449</v>
      </c>
      <c r="N79" s="3476"/>
      <c r="O79" s="3478"/>
      <c r="Z79" s="1631" t="s">
        <v>4359</v>
      </c>
      <c r="AA79" s="1633">
        <v>79</v>
      </c>
    </row>
    <row r="80" spans="1:27" ht="13.35" customHeight="1">
      <c r="A80" s="17" t="s">
        <v>951</v>
      </c>
      <c r="B80" s="18">
        <f t="shared" ref="B80:K80" si="34">$B$16*(1+$B$6)^(B78-1)</f>
        <v>12089.66801367989</v>
      </c>
      <c r="C80" s="18">
        <f t="shared" si="34"/>
        <v>12331.461373953487</v>
      </c>
      <c r="D80" s="18">
        <f t="shared" si="34"/>
        <v>12578.090601432557</v>
      </c>
      <c r="E80" s="18">
        <f t="shared" si="34"/>
        <v>12829.652413461206</v>
      </c>
      <c r="F80" s="18">
        <f t="shared" si="34"/>
        <v>13086.24546173043</v>
      </c>
      <c r="G80" s="18">
        <f t="shared" si="34"/>
        <v>13347.97037096504</v>
      </c>
      <c r="H80" s="18">
        <f t="shared" si="34"/>
        <v>13614.929778384341</v>
      </c>
      <c r="I80" s="18">
        <f t="shared" si="34"/>
        <v>13887.228373952026</v>
      </c>
      <c r="J80" s="18">
        <f t="shared" si="34"/>
        <v>14164.97294143107</v>
      </c>
      <c r="K80" s="19">
        <f t="shared" si="34"/>
        <v>14448.27240025969</v>
      </c>
      <c r="N80" s="3452"/>
      <c r="O80" s="3454"/>
      <c r="Z80" s="1631" t="s">
        <v>4359</v>
      </c>
      <c r="AA80" s="1633">
        <v>80</v>
      </c>
    </row>
    <row r="81" spans="1:27" ht="13.35" customHeight="1">
      <c r="A81" s="17" t="s">
        <v>2210</v>
      </c>
      <c r="B81" s="18">
        <f t="shared" ref="B81:K81" si="35">-(B79+B80)*$B$9</f>
        <v>-43160.114808837214</v>
      </c>
      <c r="C81" s="18">
        <f t="shared" si="35"/>
        <v>-44023.31710501395</v>
      </c>
      <c r="D81" s="18">
        <f t="shared" si="35"/>
        <v>-44903.783447114234</v>
      </c>
      <c r="E81" s="18">
        <f t="shared" si="35"/>
        <v>-45801.859116056512</v>
      </c>
      <c r="F81" s="18">
        <f t="shared" si="35"/>
        <v>-46717.896298377644</v>
      </c>
      <c r="G81" s="18">
        <f t="shared" si="35"/>
        <v>-47652.254224345197</v>
      </c>
      <c r="H81" s="18">
        <f t="shared" si="35"/>
        <v>-48605.299308832109</v>
      </c>
      <c r="I81" s="18">
        <f t="shared" si="35"/>
        <v>-49577.405295008735</v>
      </c>
      <c r="J81" s="18">
        <f t="shared" si="35"/>
        <v>-50568.953400908926</v>
      </c>
      <c r="K81" s="19">
        <f t="shared" si="35"/>
        <v>-51580.332468927103</v>
      </c>
      <c r="N81" s="3452"/>
      <c r="O81" s="3454"/>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4359</v>
      </c>
      <c r="AA83" s="1633">
        <v>83</v>
      </c>
    </row>
    <row r="84" spans="1:27" ht="13.35" customHeight="1">
      <c r="A84" s="340" t="s">
        <v>3713</v>
      </c>
      <c r="B84" s="18">
        <f t="shared" ref="B84:K84" si="36">SUM(B79:B83)</f>
        <v>573412.95388883725</v>
      </c>
      <c r="C84" s="18">
        <f t="shared" si="36"/>
        <v>584881.21296661382</v>
      </c>
      <c r="D84" s="18">
        <f t="shared" si="36"/>
        <v>596578.83722594613</v>
      </c>
      <c r="E84" s="18">
        <f t="shared" si="36"/>
        <v>608510.41397046507</v>
      </c>
      <c r="F84" s="18">
        <f t="shared" si="36"/>
        <v>620680.62224987429</v>
      </c>
      <c r="G84" s="18">
        <f t="shared" si="36"/>
        <v>633094.23469487182</v>
      </c>
      <c r="H84" s="18">
        <f t="shared" si="36"/>
        <v>645756.11938876938</v>
      </c>
      <c r="I84" s="18">
        <f t="shared" si="36"/>
        <v>658671.2417765446</v>
      </c>
      <c r="J84" s="18">
        <f t="shared" si="36"/>
        <v>671844.66661207564</v>
      </c>
      <c r="K84" s="19">
        <f t="shared" si="36"/>
        <v>685281.55994431709</v>
      </c>
      <c r="N84" s="3452"/>
      <c r="O84" s="3454"/>
      <c r="Z84" s="1631" t="s">
        <v>4359</v>
      </c>
      <c r="AA84" s="1633">
        <v>84</v>
      </c>
    </row>
    <row r="85" spans="1:27" ht="13.35" customHeight="1">
      <c r="A85" s="17" t="s">
        <v>571</v>
      </c>
      <c r="B85" s="18">
        <f t="shared" ref="B85:K85" si="37">$B$21*(1+$B$7)^(B78-1)</f>
        <v>-479089.06610840856</v>
      </c>
      <c r="C85" s="18">
        <f t="shared" si="37"/>
        <v>-493461.73809166078</v>
      </c>
      <c r="D85" s="18">
        <f t="shared" si="37"/>
        <v>-508265.5902344106</v>
      </c>
      <c r="E85" s="18">
        <f t="shared" si="37"/>
        <v>-523513.557941443</v>
      </c>
      <c r="F85" s="18">
        <f t="shared" si="37"/>
        <v>-539218.96467968624</v>
      </c>
      <c r="G85" s="18">
        <f t="shared" si="37"/>
        <v>-555395.53362007672</v>
      </c>
      <c r="H85" s="18">
        <f t="shared" si="37"/>
        <v>-572057.39962867915</v>
      </c>
      <c r="I85" s="18">
        <f t="shared" si="37"/>
        <v>-589219.12161753944</v>
      </c>
      <c r="J85" s="18">
        <f t="shared" si="37"/>
        <v>-606895.69526606565</v>
      </c>
      <c r="K85" s="19">
        <f t="shared" si="37"/>
        <v>-625102.5661240475</v>
      </c>
      <c r="N85" s="3452"/>
      <c r="O85" s="3454"/>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-40139</v>
      </c>
      <c r="C86" s="18">
        <f>IF(AND('Part VI-Pro Forma'!$G$9="Yes",'Part VI-Pro Forma'!$G$10="Yes"),"Choose One!",IF('Part VI-Pro Forma'!$G$9="Yes",ROUND((-$K$9*(1+'Part VI-Pro Forma'!$B$7)^('Part VI-Pro Forma'!C78-1)),),IF('Part VI-Pro Forma'!$G$10="Yes",ROUND((-(SUM(C79:C82)*'Part VI-Pro Forma'!$K$10)),),"Choose mgt fee")))</f>
        <v>-40942</v>
      </c>
      <c r="D86" s="18">
        <f>IF(AND('Part VI-Pro Forma'!$G$9="Yes",'Part VI-Pro Forma'!$G$10="Yes"),"Choose One!",IF('Part VI-Pro Forma'!$G$9="Yes",ROUND((-$K$9*(1+'Part VI-Pro Forma'!$B$7)^('Part VI-Pro Forma'!D78-1)),),IF('Part VI-Pro Forma'!$G$10="Yes",ROUND((-(SUM(D79:D82)*'Part VI-Pro Forma'!$K$10)),),"Choose mgt fee")))</f>
        <v>-41761</v>
      </c>
      <c r="E86" s="18">
        <f>IF(AND('Part VI-Pro Forma'!$G$9="Yes",'Part VI-Pro Forma'!$G$10="Yes"),"Choose One!",IF('Part VI-Pro Forma'!$G$9="Yes",ROUND((-$K$9*(1+'Part VI-Pro Forma'!$B$7)^('Part VI-Pro Forma'!E78-1)),),IF('Part VI-Pro Forma'!$G$10="Yes",ROUND((-(SUM(E79:E82)*'Part VI-Pro Forma'!$K$10)),),"Choose mgt fee")))</f>
        <v>-42596</v>
      </c>
      <c r="F86" s="18">
        <f>IF(AND('Part VI-Pro Forma'!$G$9="Yes",'Part VI-Pro Forma'!$G$10="Yes"),"Choose One!",IF('Part VI-Pro Forma'!$G$9="Yes",ROUND((-$K$9*(1+'Part VI-Pro Forma'!$B$7)^('Part VI-Pro Forma'!F78-1)),),IF('Part VI-Pro Forma'!$G$10="Yes",ROUND((-(SUM(F79:F82)*'Part VI-Pro Forma'!$K$10)),),"Choose mgt fee")))</f>
        <v>-43448</v>
      </c>
      <c r="G86" s="18">
        <f>IF(AND('Part VI-Pro Forma'!$G$9="Yes",'Part VI-Pro Forma'!$G$10="Yes"),"Choose One!",IF('Part VI-Pro Forma'!$G$9="Yes",ROUND((-$K$9*(1+'Part VI-Pro Forma'!$B$7)^('Part VI-Pro Forma'!G78-1)),),IF('Part VI-Pro Forma'!$G$10="Yes",ROUND((-(SUM(G79:G82)*'Part VI-Pro Forma'!$K$10)),),"Choose mgt fee")))</f>
        <v>-44317</v>
      </c>
      <c r="H86" s="18">
        <f>IF(AND('Part VI-Pro Forma'!$G$9="Yes",'Part VI-Pro Forma'!$G$10="Yes"),"Choose One!",IF('Part VI-Pro Forma'!$G$9="Yes",ROUND((-$K$9*(1+'Part VI-Pro Forma'!$B$7)^('Part VI-Pro Forma'!H78-1)),),IF('Part VI-Pro Forma'!$G$10="Yes",ROUND((-(SUM(H79:H82)*'Part VI-Pro Forma'!$K$10)),),"Choose mgt fee")))</f>
        <v>-45203</v>
      </c>
      <c r="I86" s="18">
        <f>IF(AND('Part VI-Pro Forma'!$G$9="Yes",'Part VI-Pro Forma'!$G$10="Yes"),"Choose One!",IF('Part VI-Pro Forma'!$G$9="Yes",ROUND((-$K$9*(1+'Part VI-Pro Forma'!$B$7)^('Part VI-Pro Forma'!I78-1)),),IF('Part VI-Pro Forma'!$G$10="Yes",ROUND((-(SUM(I79:I82)*'Part VI-Pro Forma'!$K$10)),),"Choose mgt fee")))</f>
        <v>-46107</v>
      </c>
      <c r="J86" s="18">
        <f>IF(AND('Part VI-Pro Forma'!$G$9="Yes",'Part VI-Pro Forma'!$G$10="Yes"),"Choose One!",IF('Part VI-Pro Forma'!$G$9="Yes",ROUND((-$K$9*(1+'Part VI-Pro Forma'!$B$7)^('Part VI-Pro Forma'!J78-1)),),IF('Part VI-Pro Forma'!$G$10="Yes",ROUND((-(SUM(J79:J82)*'Part VI-Pro Forma'!$K$10)),),"Choose mgt fee")))</f>
        <v>-47029</v>
      </c>
      <c r="K86" s="19">
        <f>IF(AND('Part VI-Pro Forma'!$G$9="Yes",'Part VI-Pro Forma'!$G$10="Yes"),"Choose One!",IF('Part VI-Pro Forma'!$G$9="Yes",ROUND((-$K$9*(1+'Part VI-Pro Forma'!$B$7)^('Part VI-Pro Forma'!K78-1)),),IF('Part VI-Pro Forma'!$G$10="Yes",ROUND((-(SUM(K79:K82)*'Part VI-Pro Forma'!$K$10)),),"Choose mgt fee")))</f>
        <v>-47970</v>
      </c>
      <c r="N86" s="3452"/>
      <c r="O86" s="3454"/>
      <c r="Z86" s="1631" t="s">
        <v>4359</v>
      </c>
      <c r="AA86" s="1633">
        <v>86</v>
      </c>
    </row>
    <row r="87" spans="1:27" ht="13.35" customHeight="1">
      <c r="A87" s="17" t="s">
        <v>1127</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452"/>
      <c r="O87" s="3454"/>
      <c r="Q87" s="92"/>
      <c r="R87" s="856"/>
      <c r="S87" s="856"/>
      <c r="Z87" s="1631" t="s">
        <v>4359</v>
      </c>
      <c r="AA87" s="1633">
        <v>87</v>
      </c>
    </row>
    <row r="88" spans="1:27" ht="13.35"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4359</v>
      </c>
      <c r="AA88" s="1633">
        <v>88</v>
      </c>
    </row>
    <row r="89" spans="1:27" ht="13.35" customHeight="1">
      <c r="A89" s="17" t="s">
        <v>1128</v>
      </c>
      <c r="B89" s="18">
        <f t="shared" ref="B89:K89" si="39">SUM(B84:B88)</f>
        <v>28176.886001189137</v>
      </c>
      <c r="C89" s="18">
        <f t="shared" si="39"/>
        <v>23689.233042336306</v>
      </c>
      <c r="D89" s="18">
        <f t="shared" si="39"/>
        <v>18960.357903940294</v>
      </c>
      <c r="E89" s="18">
        <f t="shared" si="39"/>
        <v>13981.210268798979</v>
      </c>
      <c r="F89" s="18">
        <f t="shared" si="39"/>
        <v>8741.4224371582641</v>
      </c>
      <c r="G89" s="18">
        <f t="shared" si="39"/>
        <v>3231.298887774421</v>
      </c>
      <c r="H89" s="18">
        <f t="shared" si="39"/>
        <v>-2559.1944925410753</v>
      </c>
      <c r="I89" s="18">
        <f t="shared" si="39"/>
        <v>-8641.4415212050735</v>
      </c>
      <c r="J89" s="18">
        <f t="shared" si="39"/>
        <v>-15026.187184606555</v>
      </c>
      <c r="K89" s="1156">
        <f t="shared" si="39"/>
        <v>-21725.549466265446</v>
      </c>
      <c r="N89" s="3452"/>
      <c r="O89" s="3454"/>
      <c r="Z89" s="1631" t="s">
        <v>4359</v>
      </c>
      <c r="AA89" s="1633">
        <v>89</v>
      </c>
    </row>
    <row r="90" spans="1:27" ht="13.35" customHeight="1">
      <c r="A90" s="17" t="str">
        <f>$A58</f>
        <v>Mortgage A</v>
      </c>
      <c r="B90" s="341">
        <f>IF('Part II-Sources of Funds'!$P$40="", 0,-'Part II-Sources of Funds'!$P$40)</f>
        <v>-29791.972615746738</v>
      </c>
      <c r="C90" s="341">
        <f>IF('Part II-Sources of Funds'!$P$40="", 0,-'Part II-Sources of Funds'!$P$40)</f>
        <v>-29791.972615746738</v>
      </c>
      <c r="D90" s="341">
        <f>IF('Part II-Sources of Funds'!$P$40="", 0,-'Part II-Sources of Funds'!$P$40)</f>
        <v>-29791.972615746738</v>
      </c>
      <c r="E90" s="341">
        <f>IF('Part II-Sources of Funds'!$P$40="", 0,-'Part II-Sources of Funds'!$P$40)</f>
        <v>-29791.972615746738</v>
      </c>
      <c r="F90" s="341">
        <f>IF('Part II-Sources of Funds'!$P$40="", 0,-'Part II-Sources of Funds'!$P$40)</f>
        <v>-29791.972615746738</v>
      </c>
      <c r="G90" s="341">
        <f>IF('Part II-Sources of Funds'!$P$40="", 0,-'Part II-Sources of Funds'!$P$40)</f>
        <v>-29791.972615746738</v>
      </c>
      <c r="H90" s="341">
        <f>IF('Part II-Sources of Funds'!$P$40="", 0,-'Part II-Sources of Funds'!$P$40)</f>
        <v>-29791.972615746738</v>
      </c>
      <c r="I90" s="341">
        <f>IF('Part II-Sources of Funds'!$P$40="", 0,-'Part II-Sources of Funds'!$P$40)</f>
        <v>-29791.972615746738</v>
      </c>
      <c r="J90" s="341">
        <f>IF('Part II-Sources of Funds'!$P$40="", 0,-'Part II-Sources of Funds'!$P$40)</f>
        <v>-29791.972615746738</v>
      </c>
      <c r="K90" s="341">
        <f>IF('Part II-Sources of Funds'!$P$40="", 0,-'Part II-Sources of Funds'!$P$40)</f>
        <v>-29791.972615746738</v>
      </c>
      <c r="N90" s="3452"/>
      <c r="O90" s="3454"/>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4359</v>
      </c>
      <c r="AA93" s="1633">
        <v>93</v>
      </c>
    </row>
    <row r="94" spans="1:27" ht="13.35" customHeight="1">
      <c r="A94" s="17" t="s">
        <v>710</v>
      </c>
      <c r="B94" s="138"/>
      <c r="C94" s="138"/>
      <c r="D94" s="138"/>
      <c r="E94" s="138"/>
      <c r="F94" s="138"/>
      <c r="G94" s="138"/>
      <c r="H94" s="138"/>
      <c r="I94" s="138"/>
      <c r="J94" s="138"/>
      <c r="K94" s="138"/>
      <c r="N94" s="3452"/>
      <c r="O94" s="3454"/>
      <c r="Z94" s="1631" t="s">
        <v>4359</v>
      </c>
      <c r="AA94" s="1633">
        <v>94</v>
      </c>
    </row>
    <row r="95" spans="1:27" ht="13.35" customHeight="1">
      <c r="A95" s="340" t="s">
        <v>1094</v>
      </c>
      <c r="B95" s="179">
        <f t="shared" ref="B95:K95" si="40">-(MAX(0,MIN($G$6,SUM(B89:B94))))</f>
        <v>0</v>
      </c>
      <c r="C95" s="179">
        <f t="shared" si="40"/>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452"/>
      <c r="O95" s="3454"/>
      <c r="Z95" s="1631" t="s">
        <v>4359</v>
      </c>
      <c r="AA95" s="1633">
        <v>95</v>
      </c>
    </row>
    <row r="96" spans="1:27" ht="13.35" customHeight="1">
      <c r="A96" s="17" t="s">
        <v>1095</v>
      </c>
      <c r="B96" s="18">
        <f t="shared" ref="B96:K96" si="41">SUM(B89:B95)</f>
        <v>-1615.0866145576001</v>
      </c>
      <c r="C96" s="18">
        <f t="shared" si="41"/>
        <v>-6102.7395734104321</v>
      </c>
      <c r="D96" s="18">
        <f t="shared" si="41"/>
        <v>-10831.614711806444</v>
      </c>
      <c r="E96" s="18">
        <f t="shared" si="41"/>
        <v>-15810.762346947758</v>
      </c>
      <c r="F96" s="18">
        <f t="shared" si="41"/>
        <v>-21050.550178588473</v>
      </c>
      <c r="G96" s="18">
        <f t="shared" si="41"/>
        <v>-26560.673727972317</v>
      </c>
      <c r="H96" s="18">
        <f t="shared" si="41"/>
        <v>-32351.167108287813</v>
      </c>
      <c r="I96" s="18">
        <f t="shared" si="41"/>
        <v>-38433.414136951811</v>
      </c>
      <c r="J96" s="18">
        <f t="shared" si="41"/>
        <v>-44818.159800353293</v>
      </c>
      <c r="K96" s="19">
        <f t="shared" si="41"/>
        <v>-51517.522082012183</v>
      </c>
      <c r="N96" s="3452"/>
      <c r="O96" s="3454"/>
      <c r="Z96" s="1631" t="s">
        <v>4359</v>
      </c>
      <c r="AA96" s="1633">
        <v>96</v>
      </c>
    </row>
    <row r="97" spans="1:27" ht="13.35" customHeight="1">
      <c r="A97" s="17" t="str">
        <f>$A66</f>
        <v>DCR Mortgage A</v>
      </c>
      <c r="B97" s="20">
        <f t="shared" ref="B97:K97" si="42">IF(B90=0,"",-B89/B90)</f>
        <v>0.94578785918647312</v>
      </c>
      <c r="C97" s="20">
        <f t="shared" si="42"/>
        <v>0.79515490121708854</v>
      </c>
      <c r="D97" s="20">
        <f t="shared" si="42"/>
        <v>0.63642505813524664</v>
      </c>
      <c r="E97" s="20">
        <f t="shared" si="42"/>
        <v>0.46929454618957056</v>
      </c>
      <c r="F97" s="20">
        <f t="shared" si="42"/>
        <v>0.29341536224888748</v>
      </c>
      <c r="G97" s="20">
        <f t="shared" si="42"/>
        <v>0.10846206558563018</v>
      </c>
      <c r="H97" s="20">
        <f t="shared" si="42"/>
        <v>-8.5902149735073152E-2</v>
      </c>
      <c r="I97" s="20">
        <f t="shared" si="42"/>
        <v>-0.29005939394015101</v>
      </c>
      <c r="J97" s="20">
        <f t="shared" si="42"/>
        <v>-0.50437033419748678</v>
      </c>
      <c r="K97" s="21">
        <f t="shared" si="42"/>
        <v>-0.72924172381865937</v>
      </c>
      <c r="N97" s="3452"/>
      <c r="O97" s="3454"/>
      <c r="Z97" s="1631" t="s">
        <v>4359</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4359</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4359</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4359</v>
      </c>
      <c r="AA100" s="1633">
        <v>100</v>
      </c>
    </row>
    <row r="101" spans="1:27" ht="13.35" customHeight="1">
      <c r="A101" s="340" t="s">
        <v>3128</v>
      </c>
      <c r="B101" s="20">
        <f t="shared" ref="B101:K101" si="46">IF(AND(B90=0,B91=0,B92=0,B93=0),"",-B89/(B90+B91+B92+B93))</f>
        <v>0.94578785918647312</v>
      </c>
      <c r="C101" s="20">
        <f t="shared" si="46"/>
        <v>0.79515490121708854</v>
      </c>
      <c r="D101" s="20">
        <f t="shared" si="46"/>
        <v>0.63642505813524664</v>
      </c>
      <c r="E101" s="20">
        <f t="shared" si="46"/>
        <v>0.46929454618957056</v>
      </c>
      <c r="F101" s="20">
        <f t="shared" si="46"/>
        <v>0.29341536224888748</v>
      </c>
      <c r="G101" s="20">
        <f t="shared" si="46"/>
        <v>0.10846206558563018</v>
      </c>
      <c r="H101" s="20">
        <f t="shared" si="46"/>
        <v>-8.5902149735073152E-2</v>
      </c>
      <c r="I101" s="20">
        <f t="shared" si="46"/>
        <v>-0.29005939394015101</v>
      </c>
      <c r="J101" s="20">
        <f t="shared" si="46"/>
        <v>-0.50437033419748678</v>
      </c>
      <c r="K101" s="21">
        <f t="shared" si="46"/>
        <v>-0.72924172381865937</v>
      </c>
      <c r="N101" s="3452"/>
      <c r="O101" s="3454"/>
      <c r="Z101" s="1631" t="s">
        <v>4359</v>
      </c>
      <c r="AA101" s="1633">
        <v>101</v>
      </c>
    </row>
    <row r="102" spans="1:27" ht="13.35" customHeight="1">
      <c r="A102" s="17" t="s">
        <v>717</v>
      </c>
      <c r="B102" s="220">
        <f>IF(OR(B86="Choose mgt fee",B86="Choose One!"),"",(B79+B80+B81+B82+B83) / -(B85+B86+B87))</f>
        <v>1.0516783236852836</v>
      </c>
      <c r="C102" s="220">
        <f t="shared" ref="C102:K102" si="47">IF(OR(C86="Choose mgt fee",C86="Choose One!"),"",(C79+C80+C81+C82+C83) / -(C85+C86+C87))</f>
        <v>1.0422123513695487</v>
      </c>
      <c r="D102" s="220">
        <f t="shared" si="47"/>
        <v>1.0328250542229802</v>
      </c>
      <c r="E102" s="220">
        <f t="shared" si="47"/>
        <v>1.0235164398683005</v>
      </c>
      <c r="F102" s="220">
        <f t="shared" si="47"/>
        <v>1.0142847891421789</v>
      </c>
      <c r="G102" s="220">
        <f t="shared" si="47"/>
        <v>1.0051301619829938</v>
      </c>
      <c r="H102" s="220">
        <f t="shared" si="47"/>
        <v>0.99605254659616205</v>
      </c>
      <c r="I102" s="220">
        <f t="shared" si="47"/>
        <v>0.98705038621699714</v>
      </c>
      <c r="J102" s="220">
        <f t="shared" si="47"/>
        <v>0.97812370826109563</v>
      </c>
      <c r="K102" s="221">
        <f t="shared" si="47"/>
        <v>0.96927110183605136</v>
      </c>
      <c r="N102" s="3452"/>
      <c r="O102" s="3454"/>
      <c r="Z102" s="1631" t="s">
        <v>4359</v>
      </c>
      <c r="AA102" s="1633">
        <v>102</v>
      </c>
    </row>
    <row r="103" spans="1:27" ht="13.35" customHeight="1">
      <c r="A103" s="340" t="s">
        <v>2399</v>
      </c>
      <c r="B103" s="177">
        <f>IF('Part II-Sources of Funds'!$I$40="","",-FV('Part II-Sources of Funds'!$K$40/12,12,B90/12,K72))</f>
        <v>220513.68729900732</v>
      </c>
      <c r="C103" s="177">
        <f>IF('Part II-Sources of Funds'!$I$40="","",-FV('Part II-Sources of Funds'!$K$40/12,12,C90/12,B103))</f>
        <v>200143.57289019664</v>
      </c>
      <c r="D103" s="177">
        <f>IF('Part II-Sources of Funds'!$I$40="","",-FV('Part II-Sources of Funds'!$K$40/12,12,D90/12,C103))</f>
        <v>178846.14796486651</v>
      </c>
      <c r="E103" s="177">
        <f>IF('Part II-Sources of Funds'!$I$40="","",-FV('Part II-Sources of Funds'!$K$40/12,12,E90/12,D103))</f>
        <v>156579.19848450983</v>
      </c>
      <c r="F103" s="177">
        <f>IF('Part II-Sources of Funds'!$I$40="","",-FV('Part II-Sources of Funds'!$K$40/12,12,F90/12,E103))</f>
        <v>133298.58869721787</v>
      </c>
      <c r="G103" s="177">
        <f>IF('Part II-Sources of Funds'!$I$40="","",-FV('Part II-Sources of Funds'!$K$40/12,12,G90/12,F103))</f>
        <v>108958.17365535141</v>
      </c>
      <c r="H103" s="177">
        <f>IF('Part II-Sources of Funds'!$I$40="","",-FV('Part II-Sources of Funds'!$K$40/12,12,H90/12,G103))</f>
        <v>83509.707750746136</v>
      </c>
      <c r="I103" s="177">
        <f>IF('Part II-Sources of Funds'!$I$40="","",-FV('Part II-Sources of Funds'!$K$40/12,12,I90/12,H103))</f>
        <v>56902.749086158146</v>
      </c>
      <c r="J103" s="177">
        <f>IF('Part II-Sources of Funds'!$I$40="","",-FV('Part II-Sources of Funds'!$K$40/12,12,J90/12,I103))</f>
        <v>29084.559493402248</v>
      </c>
      <c r="K103" s="177">
        <f>IF('Part II-Sources of Funds'!$I$40="","",-FV('Part II-Sources of Funds'!$K$40/12,12,K90/12,J103))</f>
        <v>7.1777321863919497E-9</v>
      </c>
      <c r="N103" s="3452"/>
      <c r="O103" s="3454"/>
      <c r="Z103" s="1631" t="s">
        <v>4359</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4359</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4359</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00" t="s">
        <v>3120</v>
      </c>
      <c r="O108" s="3100"/>
      <c r="AA108" s="1633">
        <v>108</v>
      </c>
    </row>
    <row r="109" spans="1:27" ht="13.35" customHeight="1">
      <c r="A109" s="14" t="s">
        <v>2209</v>
      </c>
      <c r="B109" s="15">
        <f>$B$15*(1+$B$6)^(B108-1)</f>
        <v>736861.89241324423</v>
      </c>
      <c r="C109" s="15">
        <f>$B$15*(1+$B$6)^(C108-1)</f>
        <v>751599.13026150886</v>
      </c>
      <c r="D109" s="15">
        <f>$B$15*(1+$B$6)^(D108-1)</f>
        <v>766631.11286673928</v>
      </c>
      <c r="E109" s="15">
        <f>$B$15*(1+$B$6)^(E108-1)</f>
        <v>781963.73512407404</v>
      </c>
      <c r="F109" s="496">
        <f>$B$15*(1+$B$6)^(F108-1)</f>
        <v>797603.0098265555</v>
      </c>
      <c r="G109" s="13"/>
      <c r="H109" s="13"/>
      <c r="I109" s="13"/>
      <c r="J109" s="13"/>
      <c r="K109" s="13"/>
      <c r="N109" s="3476"/>
      <c r="O109" s="3478"/>
      <c r="Z109" s="1631" t="s">
        <v>4360</v>
      </c>
      <c r="AA109" s="1633">
        <v>109</v>
      </c>
    </row>
    <row r="110" spans="1:27" ht="13.35" customHeight="1">
      <c r="A110" s="17" t="s">
        <v>951</v>
      </c>
      <c r="B110" s="18">
        <f>$B$16*(1+$B$6)^(B108-1)</f>
        <v>14737.237848264884</v>
      </c>
      <c r="C110" s="18">
        <f>$B$16*(1+$B$6)^(C108-1)</f>
        <v>15031.982605230178</v>
      </c>
      <c r="D110" s="18">
        <f>$B$16*(1+$B$6)^(D108-1)</f>
        <v>15332.622257334784</v>
      </c>
      <c r="E110" s="18">
        <f>$B$16*(1+$B$6)^(E108-1)</f>
        <v>15639.274702481482</v>
      </c>
      <c r="F110" s="19">
        <f>$B$16*(1+$B$6)^(F108-1)</f>
        <v>15952.060196531109</v>
      </c>
      <c r="G110" s="13"/>
      <c r="H110" s="13"/>
      <c r="I110" s="13"/>
      <c r="J110" s="13"/>
      <c r="K110" s="13"/>
      <c r="N110" s="3452"/>
      <c r="O110" s="3454"/>
      <c r="Z110" s="1631" t="s">
        <v>4360</v>
      </c>
      <c r="AA110" s="1633">
        <v>110</v>
      </c>
    </row>
    <row r="111" spans="1:27" ht="13.35" customHeight="1">
      <c r="A111" s="17" t="s">
        <v>2210</v>
      </c>
      <c r="B111" s="18">
        <f>-(B109+B110)*$B$9</f>
        <v>-52611.939118305643</v>
      </c>
      <c r="C111" s="18">
        <f>-(C109+C110)*$B$9</f>
        <v>-53664.177900671741</v>
      </c>
      <c r="D111" s="18">
        <f>-(D109+D110)*$B$9</f>
        <v>-54737.461458685189</v>
      </c>
      <c r="E111" s="18">
        <f>-(E109+E110)*$B$9</f>
        <v>-55832.210687858889</v>
      </c>
      <c r="F111" s="19">
        <f>-(F109+F110)*$B$9</f>
        <v>-56948.854901616069</v>
      </c>
      <c r="G111" s="13"/>
      <c r="H111" s="13"/>
      <c r="I111" s="13"/>
      <c r="J111" s="13"/>
      <c r="K111" s="13"/>
      <c r="N111" s="3452"/>
      <c r="O111" s="3454"/>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4360</v>
      </c>
      <c r="AA113" s="1633">
        <v>113</v>
      </c>
    </row>
    <row r="114" spans="1:27" ht="13.35" customHeight="1">
      <c r="A114" s="340" t="s">
        <v>3713</v>
      </c>
      <c r="B114" s="18">
        <f>SUM(B109:B113)</f>
        <v>698987.19114320341</v>
      </c>
      <c r="C114" s="18">
        <f>SUM(C109:C113)</f>
        <v>712966.93496606732</v>
      </c>
      <c r="D114" s="18">
        <f>SUM(D109:D113)</f>
        <v>727226.27366538881</v>
      </c>
      <c r="E114" s="18">
        <f>SUM(E109:E113)</f>
        <v>741770.79913869663</v>
      </c>
      <c r="F114" s="19">
        <f>SUM(F109:F113)</f>
        <v>756606.21512147051</v>
      </c>
      <c r="G114" s="13"/>
      <c r="H114" s="13"/>
      <c r="I114" s="13"/>
      <c r="J114" s="13"/>
      <c r="K114" s="13"/>
      <c r="N114" s="3452"/>
      <c r="O114" s="3454"/>
      <c r="Z114" s="1631" t="s">
        <v>4360</v>
      </c>
      <c r="AA114" s="1633">
        <v>114</v>
      </c>
    </row>
    <row r="115" spans="1:27" ht="13.35" customHeight="1">
      <c r="A115" s="17" t="s">
        <v>571</v>
      </c>
      <c r="B115" s="18">
        <f>$B$21*(1+$B$7)^(B108-1)</f>
        <v>-643855.64310776896</v>
      </c>
      <c r="C115" s="18">
        <f>$B$21*(1+$B$7)^(C108-1)</f>
        <v>-663171.31240100216</v>
      </c>
      <c r="D115" s="18">
        <f>$B$21*(1+$B$7)^(D108-1)</f>
        <v>-683066.45177303208</v>
      </c>
      <c r="E115" s="18">
        <f>$B$21*(1+$B$7)^(E108-1)</f>
        <v>-703558.44532622304</v>
      </c>
      <c r="F115" s="19">
        <f>$B$21*(1+$B$7)^(F108-1)</f>
        <v>-724665.19868600962</v>
      </c>
      <c r="G115" s="13"/>
      <c r="H115" s="13"/>
      <c r="I115" s="13"/>
      <c r="J115" s="13"/>
      <c r="K115" s="13"/>
      <c r="N115" s="3452"/>
      <c r="O115" s="3454"/>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-48929</v>
      </c>
      <c r="C116" s="18">
        <f>IF(AND('Part VI-Pro Forma'!$G$9="Yes",'Part VI-Pro Forma'!$G$10="Yes"),"Choose One!",IF('Part VI-Pro Forma'!$G$9="Yes",ROUND((-$K$9*(1+'Part VI-Pro Forma'!$B$7)^('Part VI-Pro Forma'!C108-1)),),IF('Part VI-Pro Forma'!$G$10="Yes",ROUND((-(SUM(C109:C112)*'Part VI-Pro Forma'!$K$10)),),"Choose mgt fee")))</f>
        <v>-49908</v>
      </c>
      <c r="D116" s="18">
        <f>IF(AND('Part VI-Pro Forma'!$G$9="Yes",'Part VI-Pro Forma'!$G$10="Yes"),"Choose One!",IF('Part VI-Pro Forma'!$G$9="Yes",ROUND((-$K$9*(1+'Part VI-Pro Forma'!$B$7)^('Part VI-Pro Forma'!D108-1)),),IF('Part VI-Pro Forma'!$G$10="Yes",ROUND((-(SUM(D109:D112)*'Part VI-Pro Forma'!$K$10)),),"Choose mgt fee")))</f>
        <v>-50906</v>
      </c>
      <c r="E116" s="18">
        <f>IF(AND('Part VI-Pro Forma'!$G$9="Yes",'Part VI-Pro Forma'!$G$10="Yes"),"Choose One!",IF('Part VI-Pro Forma'!$G$9="Yes",ROUND((-$K$9*(1+'Part VI-Pro Forma'!$B$7)^('Part VI-Pro Forma'!E108-1)),),IF('Part VI-Pro Forma'!$G$10="Yes",ROUND((-(SUM(E109:E112)*'Part VI-Pro Forma'!$K$10)),),"Choose mgt fee")))</f>
        <v>-51924</v>
      </c>
      <c r="F116" s="19">
        <f>IF(AND('Part VI-Pro Forma'!$G$9="Yes",'Part VI-Pro Forma'!$G$10="Yes"),"Choose One!",IF('Part VI-Pro Forma'!$G$9="Yes",ROUND((-$K$9*(1+'Part VI-Pro Forma'!$B$7)^('Part VI-Pro Forma'!F108-1)),),IF('Part VI-Pro Forma'!$G$10="Yes",ROUND((-(SUM(F109:F112)*'Part VI-Pro Forma'!$K$10)),),"Choose mgt fee")))</f>
        <v>-52962</v>
      </c>
      <c r="G116" s="13"/>
      <c r="H116" s="13"/>
      <c r="I116" s="13"/>
      <c r="J116" s="13"/>
      <c r="K116" s="13"/>
      <c r="N116" s="3452"/>
      <c r="O116" s="3454"/>
      <c r="Z116" s="1631" t="s">
        <v>4360</v>
      </c>
      <c r="AA116" s="1633">
        <v>116</v>
      </c>
    </row>
    <row r="117" spans="1:27" ht="13.35" customHeight="1">
      <c r="A117" s="17" t="s">
        <v>1127</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452"/>
      <c r="O117" s="3454"/>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4360</v>
      </c>
      <c r="AA118" s="1633">
        <v>118</v>
      </c>
    </row>
    <row r="119" spans="1:27" ht="13.35" customHeight="1">
      <c r="A119" s="17" t="s">
        <v>1128</v>
      </c>
      <c r="B119" s="18">
        <f>SUM(B114:B118)</f>
        <v>-28750.031549696643</v>
      </c>
      <c r="C119" s="18">
        <f>SUM(C114:C118)</f>
        <v>-36113.534407619867</v>
      </c>
      <c r="D119" s="18">
        <f>SUM(D114:D118)</f>
        <v>-43827.369789508841</v>
      </c>
      <c r="E119" s="18">
        <f>SUM(E114:E118)</f>
        <v>-51905.273619847947</v>
      </c>
      <c r="F119" s="1156">
        <f>SUM(F114:F118)</f>
        <v>-60360.419819830298</v>
      </c>
      <c r="G119" s="13"/>
      <c r="H119" s="13"/>
      <c r="I119" s="13"/>
      <c r="J119" s="13"/>
      <c r="K119" s="13"/>
      <c r="N119" s="3452"/>
      <c r="O119" s="3454"/>
      <c r="Z119" s="1631" t="s">
        <v>4360</v>
      </c>
      <c r="AA119" s="1633">
        <v>119</v>
      </c>
    </row>
    <row r="120" spans="1:27" ht="13.35" customHeight="1">
      <c r="A120" s="17" t="str">
        <f>$A90</f>
        <v>Mortgage A</v>
      </c>
      <c r="B120" s="341">
        <v>0</v>
      </c>
      <c r="C120" s="341">
        <v>0</v>
      </c>
      <c r="D120" s="341">
        <v>0</v>
      </c>
      <c r="E120" s="341">
        <v>0</v>
      </c>
      <c r="F120" s="341">
        <v>0</v>
      </c>
      <c r="G120" s="13"/>
      <c r="H120" s="13"/>
      <c r="I120" s="13"/>
      <c r="J120" s="13"/>
      <c r="K120" s="13"/>
      <c r="N120" s="3452"/>
      <c r="O120" s="3454"/>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4360</v>
      </c>
      <c r="AA123" s="1633">
        <v>123</v>
      </c>
    </row>
    <row r="124" spans="1:27" ht="13.35" customHeight="1">
      <c r="A124" s="17" t="s">
        <v>710</v>
      </c>
      <c r="B124" s="138"/>
      <c r="C124" s="138"/>
      <c r="D124" s="138"/>
      <c r="E124" s="138"/>
      <c r="F124" s="138"/>
      <c r="G124" s="13"/>
      <c r="H124" s="13"/>
      <c r="I124" s="13"/>
      <c r="J124" s="13"/>
      <c r="K124" s="13"/>
      <c r="N124" s="3452"/>
      <c r="O124" s="3454"/>
      <c r="Z124" s="1631" t="s">
        <v>4360</v>
      </c>
      <c r="AA124" s="1633">
        <v>124</v>
      </c>
    </row>
    <row r="125" spans="1:27" ht="13.35" customHeight="1">
      <c r="A125" s="17" t="s">
        <v>1094</v>
      </c>
      <c r="B125" s="179">
        <f t="shared" ref="B125:F125" si="48">-(MAX(0,MIN($G$6,SUM(B119:B124))))</f>
        <v>0</v>
      </c>
      <c r="C125" s="179">
        <f t="shared" si="48"/>
        <v>0</v>
      </c>
      <c r="D125" s="179">
        <f t="shared" si="48"/>
        <v>0</v>
      </c>
      <c r="E125" s="179">
        <f t="shared" si="48"/>
        <v>0</v>
      </c>
      <c r="F125" s="179">
        <f t="shared" si="48"/>
        <v>0</v>
      </c>
      <c r="G125" s="13"/>
      <c r="H125" s="13"/>
      <c r="I125" s="13"/>
      <c r="J125" s="13"/>
      <c r="K125" s="13"/>
      <c r="N125" s="3452"/>
      <c r="O125" s="3454"/>
      <c r="Z125" s="1631" t="s">
        <v>4360</v>
      </c>
      <c r="AA125" s="1633">
        <v>125</v>
      </c>
    </row>
    <row r="126" spans="1:27" ht="13.35" customHeight="1">
      <c r="A126" s="17" t="s">
        <v>1095</v>
      </c>
      <c r="B126" s="18">
        <f>SUM(B119:B125)</f>
        <v>-28750.031549696643</v>
      </c>
      <c r="C126" s="18">
        <f>SUM(C119:C125)</f>
        <v>-36113.534407619867</v>
      </c>
      <c r="D126" s="18">
        <f>SUM(D119:D125)</f>
        <v>-43827.369789508841</v>
      </c>
      <c r="E126" s="18">
        <f>SUM(E119:E125)</f>
        <v>-51905.273619847947</v>
      </c>
      <c r="F126" s="19">
        <f>SUM(F119:F125)</f>
        <v>-60360.419819830298</v>
      </c>
      <c r="G126" s="13"/>
      <c r="H126" s="13"/>
      <c r="I126" s="13"/>
      <c r="J126" s="13"/>
      <c r="K126" s="13"/>
      <c r="N126" s="3452"/>
      <c r="O126" s="3454"/>
      <c r="Z126" s="1631" t="s">
        <v>4360</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52"/>
      <c r="O127" s="3454"/>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4360</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52"/>
      <c r="O131" s="3454"/>
      <c r="Z131" s="1631" t="s">
        <v>4360</v>
      </c>
      <c r="AA131" s="1633">
        <v>131</v>
      </c>
    </row>
    <row r="132" spans="1:27" ht="13.35" customHeight="1">
      <c r="A132" s="17" t="s">
        <v>717</v>
      </c>
      <c r="B132" s="220">
        <f>IF(OR(B116="Choose mgt fee",B116="Choose One!"),"",(B109+B110+B111+B112+B113) / -(B115+B116+B117))</f>
        <v>0.96049393839810637</v>
      </c>
      <c r="C132" s="220">
        <f>IF(OR(C116="Choose mgt fee",C116="Choose One!"),"",(C109+C110+C111+C112+C113) / -(C115+C116+C117))</f>
        <v>0.9517895127638093</v>
      </c>
      <c r="D132" s="220">
        <f>IF(OR(D116="Choose mgt fee",D116="Choose One!"),"",(D109+D110+D111+D112+D113) / -(D115+D116+D117))</f>
        <v>0.94315911718783996</v>
      </c>
      <c r="E132" s="220">
        <f>IF(OR(E116="Choose mgt fee",E116="Choose One!"),"",(E109+E110+E111+E112+E113) / -(E115+E116+E117))</f>
        <v>0.93460143829277464</v>
      </c>
      <c r="F132" s="497">
        <f>IF(OR(F116="Choose mgt fee",F116="Choose One!"),"",(F109+F110+F111+F112+F113) / -(F115+F116+F117))</f>
        <v>0.9261164198900641</v>
      </c>
      <c r="G132" s="13"/>
      <c r="H132" s="13"/>
      <c r="I132" s="13"/>
      <c r="J132" s="13"/>
      <c r="K132" s="13"/>
      <c r="N132" s="3452"/>
      <c r="O132" s="3454"/>
      <c r="Z132" s="1631" t="s">
        <v>4360</v>
      </c>
      <c r="AA132" s="1633">
        <v>132</v>
      </c>
    </row>
    <row r="133" spans="1:27" ht="13.35" customHeight="1">
      <c r="A133" s="340" t="s">
        <v>2399</v>
      </c>
      <c r="B133" s="177">
        <f>IF('Part II-Sources of Funds'!$I$40="","",-FV('Part II-Sources of Funds'!$K$40/12,12,B120/12,K103))</f>
        <v>7.5044847223680072E-9</v>
      </c>
      <c r="C133" s="177">
        <f>IF('Part II-Sources of Funds'!$I$40="","",-FV('Part II-Sources of Funds'!$K$40/12,12,C120/12,B133))</f>
        <v>7.8461120428852323E-9</v>
      </c>
      <c r="D133" s="177">
        <f>IF('Part II-Sources of Funds'!$I$40="","",-FV('Part II-Sources of Funds'!$K$40/12,12,D120/12,C133))</f>
        <v>8.2032912940734487E-9</v>
      </c>
      <c r="E133" s="177">
        <f>IF('Part II-Sources of Funds'!$I$40="","",-FV('Part II-Sources of Funds'!$K$40/12,12,E120/12,D133))</f>
        <v>8.5767304478455259E-9</v>
      </c>
      <c r="F133" s="177">
        <f>IF('Part II-Sources of Funds'!$I$40="","",-FV('Part II-Sources of Funds'!$K$40/12,12,F120/12,E133))</f>
        <v>8.967169705182225E-9</v>
      </c>
      <c r="G133" s="13"/>
      <c r="H133" s="13"/>
      <c r="I133" s="13"/>
      <c r="J133" s="13"/>
      <c r="K133" s="13"/>
      <c r="N133" s="3452"/>
      <c r="O133" s="3454"/>
      <c r="Z133" s="1631" t="s">
        <v>4360</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4360</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98" workbookViewId="0">
      <selection activeCell="A293" sqref="A293:Q293"/>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2" t="str">
        <f>CONCATENATE("PART SEVEN - THRESHOLD CRITERIA","  -  ",'Part I-Project Identification'!$O$7," ",'Part I-Project Identification'!$F$26,", ",'Part I-Project Identification'!F27,", ",'Part I-Project Identification'!J27," County")</f>
        <v>PART SEVEN - THRESHOLD CRITERIA  -  2024-0 Pinecrest Village, Douglas, Coffee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4652</v>
      </c>
      <c r="Q3" s="3586" t="s">
        <v>4425</v>
      </c>
      <c r="R3" s="2052"/>
      <c r="S3" s="2052"/>
      <c r="T3" s="2052"/>
      <c r="U3" s="2052"/>
      <c r="V3" s="2052"/>
      <c r="W3" s="2052"/>
      <c r="X3" s="2052"/>
      <c r="Y3" s="2052"/>
      <c r="Z3" s="2052"/>
      <c r="AA3" s="2492">
        <v>3</v>
      </c>
      <c r="AB3" s="2052"/>
    </row>
    <row r="4" spans="1:28" s="1917" customFormat="1" ht="12.75">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2.75">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4653</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4654</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602"/>
      <c r="Q31" s="3603"/>
      <c r="AA31" s="2492">
        <v>31</v>
      </c>
    </row>
    <row r="32" spans="1:28" ht="15" customHeight="1">
      <c r="B32" s="1938" t="s">
        <v>4655</v>
      </c>
      <c r="C32" s="1938"/>
      <c r="D32" s="1938"/>
      <c r="E32" s="1938"/>
      <c r="F32" s="1938"/>
      <c r="G32" s="1935"/>
      <c r="H32" s="1935"/>
      <c r="I32" s="1935"/>
      <c r="J32" s="1935"/>
      <c r="K32" s="1932"/>
      <c r="L32" s="1932"/>
      <c r="M32" s="1932"/>
      <c r="N32" s="1932"/>
      <c r="O32" s="1932"/>
      <c r="P32" s="1932"/>
      <c r="AA32" s="2492">
        <v>32</v>
      </c>
    </row>
    <row r="33" spans="1:27" ht="60" customHeight="1">
      <c r="A33" s="3604" t="s">
        <v>5144</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4656</v>
      </c>
      <c r="C39" s="3620"/>
      <c r="D39" s="3620"/>
      <c r="E39" s="3620"/>
      <c r="F39" s="3620"/>
      <c r="G39" s="3620"/>
      <c r="H39" s="3620"/>
      <c r="I39" s="3620"/>
      <c r="J39" s="3620"/>
      <c r="K39" s="3620"/>
      <c r="L39" s="3620"/>
      <c r="M39" s="3620"/>
      <c r="N39" s="3620"/>
      <c r="O39" s="3620"/>
      <c r="P39" s="3621" t="s">
        <v>2641</v>
      </c>
      <c r="Q39" s="3622"/>
      <c r="AA39" s="2492">
        <v>39</v>
      </c>
    </row>
    <row r="40" spans="1:27" ht="15" customHeight="1">
      <c r="B40" s="1944" t="s">
        <v>3154</v>
      </c>
      <c r="D40" s="1944"/>
      <c r="E40" s="1944"/>
      <c r="F40" s="1944"/>
      <c r="G40" s="1944"/>
      <c r="H40" s="1942"/>
      <c r="I40" s="1935"/>
      <c r="J40" s="1935"/>
      <c r="AA40" s="2492">
        <v>40</v>
      </c>
    </row>
    <row r="41" spans="1:27" ht="20.25" customHeight="1">
      <c r="A41" s="3623" t="s">
        <v>5145</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4791</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5014</v>
      </c>
      <c r="C47" s="1941"/>
      <c r="D47" s="1940"/>
      <c r="E47" s="1940"/>
      <c r="F47" s="1940"/>
      <c r="G47" s="1940"/>
      <c r="H47" s="1940"/>
      <c r="I47" s="1940"/>
      <c r="J47" s="1940"/>
      <c r="L47" s="1945"/>
      <c r="M47" s="1946"/>
      <c r="O47" s="1936"/>
      <c r="P47" s="3621" t="s">
        <v>2641</v>
      </c>
      <c r="Q47" s="3622"/>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72" customHeight="1">
      <c r="A49" s="3604" t="s">
        <v>5216</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607"/>
      <c r="Q52" s="3611"/>
      <c r="AA52" s="2492">
        <v>52</v>
      </c>
    </row>
    <row r="53" spans="1:27" ht="27.95" customHeight="1">
      <c r="A53" s="1947"/>
      <c r="B53" s="3612" t="s">
        <v>2258</v>
      </c>
      <c r="C53" s="3612"/>
      <c r="D53" s="3612"/>
      <c r="E53" s="3612"/>
      <c r="F53" s="3612"/>
      <c r="G53" s="3612"/>
      <c r="H53" s="3613"/>
      <c r="I53" s="3614" t="s">
        <v>5146</v>
      </c>
      <c r="J53" s="3615"/>
      <c r="K53" s="3615"/>
      <c r="L53" s="3615"/>
      <c r="M53" s="3615"/>
      <c r="N53" s="3615"/>
      <c r="O53" s="3615"/>
      <c r="P53" s="3615"/>
      <c r="Q53" s="3616"/>
      <c r="AA53" s="2492">
        <v>53</v>
      </c>
    </row>
    <row r="54" spans="1:27" ht="15.95" customHeight="1">
      <c r="A54" s="1947"/>
      <c r="B54" s="1934" t="s">
        <v>4657</v>
      </c>
      <c r="D54" s="1950"/>
      <c r="E54" s="1950"/>
      <c r="F54" s="1950"/>
      <c r="I54" s="3617">
        <v>0.98599999999999999</v>
      </c>
      <c r="J54" s="3618"/>
      <c r="K54" s="3619"/>
      <c r="L54" s="1943"/>
      <c r="M54" s="1951"/>
      <c r="N54" s="1951"/>
      <c r="O54" s="1951"/>
      <c r="P54" s="1951"/>
      <c r="Q54" s="1932"/>
      <c r="AA54" s="2493">
        <v>54</v>
      </c>
    </row>
    <row r="55" spans="1:27" ht="15.95" customHeight="1">
      <c r="A55" s="1947"/>
      <c r="B55" s="1934" t="s">
        <v>4658</v>
      </c>
      <c r="D55" s="1950"/>
      <c r="E55" s="1950"/>
      <c r="F55" s="1950"/>
      <c r="H55" s="1943" t="s">
        <v>4659</v>
      </c>
      <c r="I55" s="3617">
        <v>7.9000000000000001E-2</v>
      </c>
      <c r="J55" s="3618"/>
      <c r="K55" s="3619"/>
      <c r="L55" s="1952"/>
      <c r="M55" s="1953" t="s">
        <v>4660</v>
      </c>
      <c r="N55" s="3635" t="s">
        <v>905</v>
      </c>
      <c r="O55" s="3619"/>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168" customHeight="1">
      <c r="A57" s="3604" t="s">
        <v>5208</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6"/>
      <c r="Q62" s="3637"/>
      <c r="AA62" s="2492">
        <v>62</v>
      </c>
    </row>
    <row r="63" spans="1:27" ht="15.95" customHeight="1">
      <c r="A63" s="1947"/>
      <c r="B63" s="1934" t="s">
        <v>4661</v>
      </c>
      <c r="I63" s="1956"/>
      <c r="J63" s="3635" t="s">
        <v>5175</v>
      </c>
      <c r="K63" s="3635"/>
      <c r="L63" s="3635"/>
      <c r="M63" s="3635"/>
      <c r="N63" s="3635"/>
      <c r="O63" s="3635"/>
      <c r="P63" s="3635"/>
      <c r="Q63" s="3638"/>
      <c r="AA63" s="2493">
        <v>63</v>
      </c>
    </row>
    <row r="64" spans="1:27" ht="15.95" customHeight="1">
      <c r="A64" s="1947"/>
      <c r="B64" s="1934" t="s">
        <v>3822</v>
      </c>
      <c r="O64" s="1943"/>
      <c r="P64" s="1962" t="s">
        <v>2641</v>
      </c>
      <c r="Q64" s="1955"/>
      <c r="AA64" s="2492">
        <v>64</v>
      </c>
    </row>
    <row r="65" spans="1:28" ht="31.5" customHeight="1">
      <c r="B65" s="1941"/>
      <c r="C65" s="3612" t="s">
        <v>4793</v>
      </c>
      <c r="D65" s="3612"/>
      <c r="E65" s="3612"/>
      <c r="F65" s="3612"/>
      <c r="G65" s="3612"/>
      <c r="H65" s="3612"/>
      <c r="I65" s="3612"/>
      <c r="J65" s="3612"/>
      <c r="K65" s="3612"/>
      <c r="L65" s="3612"/>
      <c r="M65" s="3612"/>
      <c r="N65" s="3612"/>
      <c r="O65" s="3612"/>
      <c r="P65" s="2059" t="s">
        <v>2641</v>
      </c>
      <c r="Q65" s="2084"/>
      <c r="AA65" s="2492">
        <v>65</v>
      </c>
    </row>
    <row r="66" spans="1:28" ht="15" customHeight="1">
      <c r="B66" s="1954" t="s">
        <v>4655</v>
      </c>
      <c r="D66" s="1954"/>
      <c r="E66" s="1954"/>
      <c r="F66" s="1954"/>
      <c r="G66" s="1954"/>
      <c r="H66" s="1942"/>
      <c r="I66" s="1935"/>
      <c r="J66" s="1935"/>
      <c r="K66" s="1935"/>
      <c r="L66" s="1932"/>
      <c r="M66" s="1932"/>
      <c r="N66" s="1932"/>
      <c r="O66" s="1932"/>
      <c r="P66" s="1932"/>
      <c r="Q66" s="1932"/>
      <c r="AA66" s="2492">
        <v>66</v>
      </c>
    </row>
    <row r="67" spans="1:28" ht="55.5" customHeight="1">
      <c r="A67" s="3623" t="s">
        <v>5204</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4998</v>
      </c>
      <c r="C73" s="3612"/>
      <c r="D73" s="3612"/>
      <c r="E73" s="3612"/>
      <c r="F73" s="3612"/>
      <c r="G73" s="3612"/>
      <c r="H73" s="3612"/>
      <c r="I73" s="3612"/>
      <c r="J73" s="3612"/>
      <c r="K73" s="3613"/>
      <c r="L73" s="3631" t="s">
        <v>5147</v>
      </c>
      <c r="M73" s="3632"/>
      <c r="N73" s="3632"/>
      <c r="O73" s="3632"/>
      <c r="P73" s="3633"/>
      <c r="Q73" s="3634"/>
      <c r="AA73" s="2492">
        <v>73</v>
      </c>
    </row>
    <row r="74" spans="1:28" ht="16.5" customHeight="1">
      <c r="B74" s="1934" t="s">
        <v>4662</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4663</v>
      </c>
      <c r="D76" s="1950"/>
      <c r="E76" s="1950"/>
      <c r="F76" s="1950"/>
      <c r="G76" s="1950"/>
      <c r="H76" s="1950"/>
      <c r="K76" s="1950"/>
      <c r="L76" s="1940"/>
      <c r="M76" s="1940"/>
      <c r="N76" s="1940"/>
      <c r="O76" s="1943"/>
      <c r="AA76" s="2492">
        <v>76</v>
      </c>
    </row>
    <row r="77" spans="1:28" ht="16.5" customHeight="1">
      <c r="A77" s="1947"/>
      <c r="B77" s="1941"/>
      <c r="C77" s="1934" t="s">
        <v>4664</v>
      </c>
      <c r="E77" s="1950"/>
      <c r="F77" s="1950"/>
      <c r="G77" s="1950"/>
      <c r="H77" s="1950"/>
      <c r="K77" s="1950"/>
      <c r="L77" s="1940"/>
      <c r="M77" s="1940"/>
      <c r="O77" s="1943"/>
      <c r="P77" s="1962" t="s">
        <v>2644</v>
      </c>
      <c r="Q77" s="1955"/>
      <c r="AA77" s="2492">
        <v>77</v>
      </c>
    </row>
    <row r="78" spans="1:28" ht="16.5" customHeight="1">
      <c r="A78" s="1947"/>
      <c r="B78" s="1941"/>
      <c r="C78" s="1934" t="s">
        <v>4665</v>
      </c>
      <c r="E78" s="1950"/>
      <c r="F78" s="1950"/>
      <c r="G78" s="1950"/>
      <c r="K78" s="1950"/>
      <c r="L78" s="1940"/>
      <c r="M78" s="1940"/>
      <c r="O78" s="1943"/>
      <c r="P78" s="1957" t="s">
        <v>2644</v>
      </c>
      <c r="Q78" s="1958"/>
      <c r="AA78" s="2492">
        <v>78</v>
      </c>
    </row>
    <row r="79" spans="1:28" s="1973" customFormat="1" ht="16.5" customHeight="1">
      <c r="A79" s="1963"/>
      <c r="B79" s="1964"/>
      <c r="C79" s="1964"/>
      <c r="D79" s="1929" t="s">
        <v>4666</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4667</v>
      </c>
      <c r="E80" s="1950"/>
      <c r="F80" s="1950"/>
      <c r="G80" s="1950"/>
      <c r="K80" s="1950"/>
      <c r="L80" s="1940"/>
      <c r="M80" s="1940"/>
      <c r="O80" s="1943"/>
      <c r="P80" s="1959" t="s">
        <v>2641</v>
      </c>
      <c r="Q80" s="1960"/>
      <c r="AA80" s="2492">
        <v>80</v>
      </c>
    </row>
    <row r="81" spans="1:27" ht="32.25" customHeight="1">
      <c r="A81" s="1947"/>
      <c r="B81" s="3640" t="s">
        <v>4819</v>
      </c>
      <c r="C81" s="3640"/>
      <c r="D81" s="3640"/>
      <c r="E81" s="3640"/>
      <c r="F81" s="3640"/>
      <c r="G81" s="3640"/>
      <c r="H81" s="3640"/>
      <c r="I81" s="3640"/>
      <c r="J81" s="3640"/>
      <c r="K81" s="3640"/>
      <c r="L81" s="3640"/>
      <c r="M81" s="3640"/>
      <c r="N81" s="3640"/>
      <c r="O81" s="3640"/>
      <c r="P81" s="3640"/>
      <c r="Q81" s="3640"/>
      <c r="AA81" s="2493">
        <v>81</v>
      </c>
    </row>
    <row r="82" spans="1:27" ht="20.25" customHeight="1">
      <c r="B82" s="3635" t="s">
        <v>5217</v>
      </c>
      <c r="C82" s="3635"/>
      <c r="D82" s="3635"/>
      <c r="E82" s="3635"/>
      <c r="F82" s="3635"/>
      <c r="G82" s="3635"/>
      <c r="H82" s="3635"/>
      <c r="I82" s="3635"/>
      <c r="J82" s="3635"/>
      <c r="K82" s="3635"/>
      <c r="L82" s="3635"/>
      <c r="M82" s="3635"/>
      <c r="N82" s="3635"/>
      <c r="O82" s="3635"/>
      <c r="P82" s="3635"/>
      <c r="Q82" s="3638"/>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111" customHeight="1">
      <c r="A84" s="3604" t="s">
        <v>5213</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5148</v>
      </c>
      <c r="M90" s="3642"/>
      <c r="N90" s="3643"/>
      <c r="O90" s="3607" t="s">
        <v>1641</v>
      </c>
      <c r="P90" s="3644"/>
      <c r="Q90" s="3645"/>
      <c r="AA90" s="2493">
        <v>90</v>
      </c>
    </row>
    <row r="91" spans="1:27" ht="14.1" customHeight="1">
      <c r="A91" s="1947"/>
      <c r="B91" s="1934" t="s">
        <v>635</v>
      </c>
      <c r="G91" s="3635" t="s">
        <v>5178</v>
      </c>
      <c r="H91" s="3635"/>
      <c r="I91" s="3635"/>
      <c r="J91" s="3635"/>
      <c r="K91" s="3635"/>
      <c r="L91" s="3635"/>
      <c r="M91" s="3635"/>
      <c r="N91" s="3635"/>
      <c r="O91" s="3635"/>
      <c r="P91" s="3635"/>
      <c r="Q91" s="3638"/>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48.75" customHeight="1">
      <c r="A93" s="3604" t="s">
        <v>5209</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52.5" customHeight="1">
      <c r="A100" s="3604" t="s">
        <v>5182</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2" t="s">
        <v>2420</v>
      </c>
      <c r="C105" s="3652"/>
      <c r="D105" s="3652"/>
      <c r="N105" s="1961"/>
      <c r="O105" s="1936" t="s">
        <v>1726</v>
      </c>
      <c r="P105" s="3607"/>
      <c r="Q105" s="3611"/>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68.25" customHeight="1">
      <c r="A107" s="3604" t="s">
        <v>5211</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6"/>
      <c r="Q112" s="3637"/>
      <c r="AA112" s="2492">
        <v>112</v>
      </c>
    </row>
    <row r="113" spans="1:27" ht="14.1" customHeight="1">
      <c r="A113" s="1947"/>
      <c r="B113" s="1934" t="s">
        <v>4668</v>
      </c>
      <c r="H113" s="1934" t="s">
        <v>4669</v>
      </c>
      <c r="J113" s="3649" t="s">
        <v>1705</v>
      </c>
      <c r="K113" s="3650"/>
      <c r="L113" s="3650"/>
      <c r="M113" s="3650"/>
      <c r="N113" s="3650"/>
      <c r="O113" s="3650"/>
      <c r="P113" s="3650"/>
      <c r="Q113" s="3651"/>
      <c r="AA113" s="2492">
        <v>113</v>
      </c>
    </row>
    <row r="114" spans="1:27" ht="14.1" customHeight="1">
      <c r="A114" s="1947"/>
      <c r="B114" s="1947"/>
      <c r="H114" s="1934" t="s">
        <v>4670</v>
      </c>
      <c r="J114" s="3646" t="s">
        <v>5179</v>
      </c>
      <c r="K114" s="3647"/>
      <c r="L114" s="3647"/>
      <c r="M114" s="3647"/>
      <c r="N114" s="3647"/>
      <c r="O114" s="3647"/>
      <c r="P114" s="3647"/>
      <c r="Q114" s="3648"/>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5180</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4671</v>
      </c>
      <c r="C121" s="1933"/>
      <c r="D121" s="1933"/>
      <c r="E121" s="1933"/>
      <c r="F121" s="1933"/>
      <c r="G121" s="1940"/>
      <c r="H121" s="1940"/>
      <c r="J121" s="1940"/>
      <c r="K121" s="1940"/>
      <c r="L121" s="1940"/>
      <c r="M121" s="1940"/>
      <c r="N121" s="1961"/>
      <c r="O121" s="1936" t="s">
        <v>1726</v>
      </c>
      <c r="P121" s="3607"/>
      <c r="Q121" s="3611"/>
      <c r="AA121" s="2492">
        <v>121</v>
      </c>
    </row>
    <row r="122" spans="1:27" ht="14.45" customHeight="1">
      <c r="A122" s="1947"/>
      <c r="B122" s="1934" t="s">
        <v>4672</v>
      </c>
      <c r="H122" s="1934" t="s">
        <v>4673</v>
      </c>
      <c r="J122" s="3649" t="s">
        <v>5179</v>
      </c>
      <c r="K122" s="3650"/>
      <c r="L122" s="3650"/>
      <c r="M122" s="3650"/>
      <c r="N122" s="3650"/>
      <c r="O122" s="3650"/>
      <c r="P122" s="3650"/>
      <c r="Q122" s="3651"/>
      <c r="R122" s="1975"/>
      <c r="AA122" s="2492">
        <v>122</v>
      </c>
    </row>
    <row r="123" spans="1:27" ht="14.45" customHeight="1">
      <c r="A123" s="1974"/>
      <c r="B123" s="1947"/>
      <c r="H123" s="1934" t="s">
        <v>4674</v>
      </c>
      <c r="J123" s="3646" t="s">
        <v>5179</v>
      </c>
      <c r="K123" s="3647"/>
      <c r="L123" s="3647"/>
      <c r="M123" s="3647"/>
      <c r="N123" s="3647"/>
      <c r="O123" s="3647"/>
      <c r="P123" s="3647"/>
      <c r="Q123" s="3648"/>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5181</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4999</v>
      </c>
      <c r="C131" s="3612"/>
      <c r="D131" s="3612"/>
      <c r="E131" s="3612"/>
      <c r="F131" s="3612"/>
      <c r="G131" s="3612"/>
      <c r="H131" s="3612"/>
      <c r="I131" s="3612"/>
      <c r="J131" s="3612"/>
      <c r="K131" s="3612"/>
      <c r="L131" s="3612"/>
      <c r="M131" s="3612"/>
      <c r="N131" s="3612"/>
      <c r="O131" s="3613"/>
      <c r="P131" s="3621" t="s">
        <v>2641</v>
      </c>
      <c r="Q131" s="3622"/>
      <c r="AA131" s="2492">
        <v>131</v>
      </c>
    </row>
    <row r="132" spans="1:27" ht="20.25" customHeight="1">
      <c r="A132" s="1947" t="s">
        <v>1836</v>
      </c>
      <c r="B132" s="1934" t="s">
        <v>4675</v>
      </c>
      <c r="O132" s="1943"/>
      <c r="P132" s="1937"/>
      <c r="Q132" s="1937"/>
      <c r="AA132" s="2492">
        <v>132</v>
      </c>
    </row>
    <row r="133" spans="1:27" ht="14.45" customHeight="1">
      <c r="A133" s="1947"/>
      <c r="B133" s="1942"/>
      <c r="C133" s="1934" t="s">
        <v>1787</v>
      </c>
      <c r="J133" s="1943"/>
      <c r="K133" s="1937"/>
      <c r="L133" s="1937"/>
      <c r="M133" s="3666" t="s">
        <v>5149</v>
      </c>
      <c r="N133" s="3667"/>
      <c r="O133" s="3667"/>
      <c r="P133" s="3667"/>
      <c r="Q133" s="3668"/>
      <c r="AA133" s="2492">
        <v>133</v>
      </c>
    </row>
    <row r="134" spans="1:27" ht="14.45" customHeight="1">
      <c r="A134" s="1947"/>
      <c r="B134" s="1942"/>
      <c r="C134" s="1942" t="s">
        <v>4611</v>
      </c>
      <c r="E134" s="1942"/>
      <c r="F134" s="1942"/>
      <c r="G134" s="1942"/>
      <c r="H134" s="1942"/>
      <c r="J134" s="1943"/>
      <c r="K134" s="1937"/>
      <c r="L134" s="1937"/>
      <c r="M134" s="3653" t="s">
        <v>5150</v>
      </c>
      <c r="N134" s="3654"/>
      <c r="O134" s="3654"/>
      <c r="P134" s="3654"/>
      <c r="Q134" s="3655"/>
      <c r="AA134" s="2492">
        <v>134</v>
      </c>
    </row>
    <row r="135" spans="1:27" ht="14.45" customHeight="1">
      <c r="A135" s="1947"/>
      <c r="B135" s="1942"/>
      <c r="C135" s="3656"/>
      <c r="D135" s="3657"/>
      <c r="E135" s="3657"/>
      <c r="F135" s="3657"/>
      <c r="G135" s="3657"/>
      <c r="H135" s="3657"/>
      <c r="I135" s="3657"/>
      <c r="J135" s="3657"/>
      <c r="K135" s="3657"/>
      <c r="L135" s="3657"/>
      <c r="M135" s="3658"/>
      <c r="N135" s="3658"/>
      <c r="O135" s="3658"/>
      <c r="P135" s="3658"/>
      <c r="Q135" s="3659"/>
      <c r="AA135" s="2493">
        <v>135</v>
      </c>
    </row>
    <row r="136" spans="1:27" ht="14.45" customHeight="1">
      <c r="A136" s="1947"/>
      <c r="B136" s="1942"/>
      <c r="C136" s="1942" t="s">
        <v>3661</v>
      </c>
      <c r="E136" s="1942"/>
      <c r="F136" s="1942"/>
      <c r="G136" s="1942"/>
      <c r="H136" s="1942"/>
      <c r="J136" s="1943"/>
      <c r="K136" s="1937"/>
      <c r="L136" s="1937"/>
      <c r="M136" s="3646" t="s">
        <v>5151</v>
      </c>
      <c r="N136" s="3647"/>
      <c r="O136" s="3647"/>
      <c r="P136" s="3647"/>
      <c r="Q136" s="3648"/>
      <c r="AA136" s="2492">
        <v>136</v>
      </c>
    </row>
    <row r="137" spans="1:27" ht="20.25" customHeight="1">
      <c r="A137" s="1947" t="s">
        <v>1838</v>
      </c>
      <c r="B137" s="3612" t="s">
        <v>4676</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4677</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60" t="s">
        <v>3775</v>
      </c>
      <c r="D139" s="3661"/>
      <c r="E139" s="3661"/>
      <c r="F139" s="3661"/>
      <c r="G139" s="3661"/>
      <c r="H139" s="3662"/>
      <c r="I139" s="1937"/>
      <c r="J139" s="3663"/>
      <c r="K139" s="3664"/>
      <c r="L139" s="3664"/>
      <c r="M139" s="3664"/>
      <c r="N139" s="3664"/>
      <c r="O139" s="3664"/>
      <c r="P139" s="3664"/>
      <c r="Q139" s="3665"/>
      <c r="AA139" s="2492">
        <v>139</v>
      </c>
    </row>
    <row r="140" spans="1:27" ht="15.75" customHeight="1">
      <c r="A140" s="1932"/>
      <c r="B140" s="1970" t="s">
        <v>1612</v>
      </c>
      <c r="C140" s="3678" t="s">
        <v>3726</v>
      </c>
      <c r="D140" s="3679"/>
      <c r="E140" s="3679"/>
      <c r="F140" s="3679"/>
      <c r="G140" s="3679"/>
      <c r="H140" s="3680"/>
      <c r="I140" s="1937"/>
      <c r="J140" s="3681"/>
      <c r="K140" s="3682"/>
      <c r="L140" s="3682"/>
      <c r="M140" s="3682"/>
      <c r="N140" s="3682"/>
      <c r="O140" s="3682"/>
      <c r="P140" s="3682"/>
      <c r="Q140" s="3683"/>
      <c r="AA140" s="2492">
        <v>140</v>
      </c>
    </row>
    <row r="141" spans="1:27" ht="15.75" customHeight="1">
      <c r="A141" s="1932"/>
      <c r="B141" s="1970" t="s">
        <v>1613</v>
      </c>
      <c r="C141" s="3678" t="s">
        <v>3725</v>
      </c>
      <c r="D141" s="3679"/>
      <c r="E141" s="3679"/>
      <c r="F141" s="3679"/>
      <c r="G141" s="3679"/>
      <c r="H141" s="3680"/>
      <c r="I141" s="1937"/>
      <c r="J141" s="3681"/>
      <c r="K141" s="3682"/>
      <c r="L141" s="3682"/>
      <c r="M141" s="3682"/>
      <c r="N141" s="3682"/>
      <c r="O141" s="3682"/>
      <c r="P141" s="3682"/>
      <c r="Q141" s="3683"/>
      <c r="AA141" s="2492">
        <v>141</v>
      </c>
    </row>
    <row r="142" spans="1:27" ht="15.75" customHeight="1">
      <c r="A142" s="1932"/>
      <c r="B142" s="1970" t="s">
        <v>2176</v>
      </c>
      <c r="C142" s="3684" t="s">
        <v>1538</v>
      </c>
      <c r="D142" s="3685"/>
      <c r="E142" s="3685"/>
      <c r="F142" s="3685"/>
      <c r="G142" s="3685"/>
      <c r="H142" s="3686"/>
      <c r="I142" s="1937"/>
      <c r="J142" s="3687"/>
      <c r="K142" s="3688"/>
      <c r="L142" s="3688"/>
      <c r="M142" s="3688"/>
      <c r="N142" s="3688"/>
      <c r="O142" s="3688"/>
      <c r="P142" s="3688"/>
      <c r="Q142" s="3689"/>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178.5" customHeight="1">
      <c r="A144" s="3604" t="s">
        <v>5152</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6"/>
      <c r="Q149" s="3637"/>
      <c r="AA149" s="2492">
        <v>149</v>
      </c>
    </row>
    <row r="150" spans="1:27" ht="20.25" customHeight="1">
      <c r="A150" s="1937"/>
      <c r="B150" s="1934" t="s">
        <v>4678</v>
      </c>
      <c r="C150" s="1937"/>
      <c r="D150" s="1937"/>
      <c r="E150" s="1937"/>
      <c r="F150" s="1937"/>
      <c r="G150" s="1937"/>
      <c r="H150" s="1937"/>
      <c r="I150" s="1937"/>
      <c r="J150" s="1937"/>
      <c r="K150" s="1937"/>
      <c r="L150" s="1937"/>
      <c r="M150" s="1937"/>
      <c r="N150" s="1935"/>
      <c r="O150" s="1937"/>
      <c r="P150" s="3669"/>
      <c r="Q150" s="3670"/>
      <c r="AA150" s="2492">
        <v>150</v>
      </c>
    </row>
    <row r="151" spans="1:27" ht="20.25" customHeight="1">
      <c r="A151" s="1947"/>
      <c r="B151" s="1934" t="s">
        <v>1190</v>
      </c>
      <c r="G151" s="1937"/>
      <c r="H151" s="3671" t="s">
        <v>1641</v>
      </c>
      <c r="I151" s="3672"/>
      <c r="J151" s="3672"/>
      <c r="K151" s="3672"/>
      <c r="L151" s="3672"/>
      <c r="M151" s="3672"/>
      <c r="N151" s="3672"/>
      <c r="O151" s="3672"/>
      <c r="P151" s="3673"/>
      <c r="Q151" s="3674"/>
      <c r="R151" s="1956"/>
      <c r="AA151" s="2492">
        <v>151</v>
      </c>
    </row>
    <row r="152" spans="1:27" ht="20.25" customHeight="1">
      <c r="A152" s="1947"/>
      <c r="B152" s="1934" t="s">
        <v>1801</v>
      </c>
      <c r="G152" s="1937"/>
      <c r="H152" s="3675"/>
      <c r="I152" s="3676"/>
      <c r="J152" s="3676"/>
      <c r="K152" s="3676"/>
      <c r="L152" s="3676"/>
      <c r="M152" s="3676"/>
      <c r="N152" s="3676"/>
      <c r="O152" s="3676"/>
      <c r="P152" s="3676"/>
      <c r="Q152" s="3677"/>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5153</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21.25" customHeight="1">
      <c r="A161" s="3604" t="s">
        <v>5154</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5" customHeight="1">
      <c r="B168" s="3690" t="s">
        <v>5000</v>
      </c>
      <c r="C168" s="3690"/>
      <c r="D168" s="3690"/>
      <c r="E168" s="3690"/>
      <c r="F168" s="3690"/>
      <c r="G168" s="3690"/>
      <c r="H168" s="3690"/>
      <c r="I168" s="3690"/>
      <c r="J168" s="3690"/>
      <c r="K168" s="3690"/>
      <c r="L168" s="3690"/>
      <c r="M168" s="3690"/>
      <c r="N168" s="3690"/>
      <c r="O168" s="3691"/>
      <c r="P168" s="3692" t="s">
        <v>5155</v>
      </c>
      <c r="Q168" s="3693"/>
      <c r="AA168" s="2492">
        <v>168</v>
      </c>
    </row>
    <row r="169" spans="1:27" ht="17.100000000000001" customHeight="1">
      <c r="A169" s="1947" t="s">
        <v>1838</v>
      </c>
      <c r="B169" s="1933" t="s">
        <v>297</v>
      </c>
      <c r="G169" s="1937"/>
      <c r="H169" s="3694" t="s">
        <v>3168</v>
      </c>
      <c r="I169" s="3694"/>
      <c r="J169" s="3694"/>
      <c r="K169" s="3694"/>
      <c r="L169" s="3694"/>
      <c r="M169" s="3694"/>
      <c r="N169" s="3694"/>
      <c r="O169" s="3694"/>
      <c r="P169" s="3695"/>
      <c r="Q169" s="3695"/>
      <c r="AA169" s="2492">
        <v>169</v>
      </c>
    </row>
    <row r="170" spans="1:27" ht="15" customHeight="1">
      <c r="B170" s="1954" t="s">
        <v>3154</v>
      </c>
      <c r="M170" s="1935"/>
      <c r="N170" s="1935"/>
      <c r="O170" s="1979"/>
      <c r="P170" s="1932"/>
      <c r="AA170" s="2492">
        <v>170</v>
      </c>
    </row>
    <row r="171" spans="1:27" ht="84.75" customHeight="1">
      <c r="A171" s="3604" t="s">
        <v>5157</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36"/>
      <c r="Q176" s="3696"/>
      <c r="AA176" s="2492">
        <v>176</v>
      </c>
    </row>
    <row r="177" spans="1:27" ht="15" customHeight="1">
      <c r="A177" s="1937"/>
      <c r="B177" s="1934" t="s">
        <v>4678</v>
      </c>
      <c r="C177" s="1937"/>
      <c r="D177" s="1937"/>
      <c r="E177" s="1937"/>
      <c r="F177" s="1937"/>
      <c r="G177" s="1937"/>
      <c r="H177" s="1937"/>
      <c r="I177" s="1937"/>
      <c r="J177" s="1937"/>
      <c r="K177" s="1937"/>
      <c r="L177" s="1937"/>
      <c r="M177" s="1937"/>
      <c r="N177" s="1935"/>
      <c r="O177" s="1937"/>
      <c r="P177" s="3669" t="s">
        <v>2644</v>
      </c>
      <c r="Q177" s="3704"/>
      <c r="AA177" s="2492">
        <v>177</v>
      </c>
    </row>
    <row r="178" spans="1:27" ht="30.6" customHeight="1">
      <c r="A178" s="1937"/>
      <c r="B178" s="3612" t="s">
        <v>5001</v>
      </c>
      <c r="C178" s="3612"/>
      <c r="D178" s="3612"/>
      <c r="E178" s="3612"/>
      <c r="F178" s="3612"/>
      <c r="G178" s="3612"/>
      <c r="H178" s="3612"/>
      <c r="I178" s="3612"/>
      <c r="J178" s="3612"/>
      <c r="K178" s="3612"/>
      <c r="L178" s="3612"/>
      <c r="M178" s="3612"/>
      <c r="N178" s="3612"/>
      <c r="O178" s="3612"/>
      <c r="P178" s="3699" t="s">
        <v>5155</v>
      </c>
      <c r="Q178" s="3705"/>
      <c r="AA178" s="2492">
        <v>178</v>
      </c>
    </row>
    <row r="179" spans="1:27" ht="15">
      <c r="A179" s="1947" t="s">
        <v>1836</v>
      </c>
      <c r="B179" s="1941" t="s">
        <v>5019</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5035</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5036</v>
      </c>
      <c r="E181" s="3690"/>
      <c r="F181" s="3690"/>
      <c r="G181" s="3690"/>
      <c r="H181" s="3690"/>
      <c r="I181" s="3690"/>
      <c r="J181" s="3690"/>
      <c r="K181" s="3690"/>
      <c r="L181" s="3690"/>
      <c r="M181" s="3690"/>
      <c r="N181" s="3690"/>
      <c r="O181" s="3690"/>
      <c r="P181" s="3707">
        <f>'Part VIII Scoring Criteria'!O105</f>
        <v>5</v>
      </c>
      <c r="Q181" s="3708"/>
      <c r="AA181" s="2493"/>
    </row>
    <row r="182" spans="1:27" ht="12" customHeight="1">
      <c r="A182" s="1937"/>
      <c r="C182" s="1937"/>
      <c r="D182" s="1937"/>
      <c r="E182" s="1937"/>
      <c r="F182" s="1937"/>
      <c r="G182" s="1937"/>
      <c r="H182" s="1937"/>
      <c r="I182" s="1937"/>
      <c r="J182" s="1937"/>
      <c r="K182" s="1937"/>
      <c r="L182" s="3706" t="s">
        <v>4679</v>
      </c>
      <c r="M182" s="3706"/>
      <c r="N182" s="1935"/>
      <c r="O182" s="1937"/>
      <c r="P182" s="1976"/>
      <c r="Q182" s="1932"/>
      <c r="AA182" s="2492">
        <v>181</v>
      </c>
    </row>
    <row r="183" spans="1:27" ht="17.100000000000001" customHeight="1">
      <c r="A183" s="1947" t="s">
        <v>1838</v>
      </c>
      <c r="B183" s="1941" t="s">
        <v>4794</v>
      </c>
      <c r="D183" s="1981"/>
      <c r="E183" s="1981"/>
      <c r="F183" s="1981"/>
      <c r="G183" s="1981"/>
      <c r="H183" s="1981"/>
      <c r="I183" s="1981"/>
      <c r="J183" s="1981"/>
      <c r="K183" s="1981"/>
      <c r="L183" s="1934" t="s">
        <v>4680</v>
      </c>
      <c r="M183" s="1935" t="s">
        <v>4681</v>
      </c>
      <c r="N183" s="1981"/>
      <c r="O183" s="1943"/>
      <c r="P183" s="1943"/>
      <c r="Q183" s="1943"/>
      <c r="AA183" s="2492">
        <v>182</v>
      </c>
    </row>
    <row r="184" spans="1:27" ht="15" customHeight="1">
      <c r="A184" s="1947"/>
      <c r="B184" s="1934" t="s">
        <v>4682</v>
      </c>
      <c r="C184" s="1937"/>
      <c r="D184" s="1950"/>
      <c r="E184" s="1950"/>
      <c r="F184" s="1950"/>
      <c r="G184" s="1950"/>
      <c r="H184" s="1937"/>
      <c r="K184" s="1982"/>
      <c r="L184" s="1983">
        <f>ROUNDUP('Part V-Revenues &amp; Expenses'!$P$67*M184,0)</f>
        <v>3</v>
      </c>
      <c r="M184" s="1984">
        <f>'DCA Underwriting Assumptions'!$Q$147</f>
        <v>0.05</v>
      </c>
      <c r="N184" s="2085" t="s">
        <v>4795</v>
      </c>
      <c r="O184" s="1943"/>
      <c r="P184" s="3669">
        <v>3</v>
      </c>
      <c r="Q184" s="3704"/>
      <c r="AA184" s="2492">
        <v>183</v>
      </c>
    </row>
    <row r="185" spans="1:27" ht="15" customHeight="1">
      <c r="A185" s="1947"/>
      <c r="B185" s="1942"/>
      <c r="D185" s="3612" t="s">
        <v>4796</v>
      </c>
      <c r="E185" s="3612"/>
      <c r="F185" s="3612"/>
      <c r="G185" s="3612"/>
      <c r="H185" s="3612"/>
      <c r="I185" s="3612"/>
      <c r="J185" s="3612"/>
      <c r="K185" s="1982"/>
      <c r="L185" s="1985">
        <f>ROUNDUP(L184*M185,0)</f>
        <v>2</v>
      </c>
      <c r="M185" s="1984">
        <f>'DCA Underwriting Assumptions'!$Q$148</f>
        <v>0.4</v>
      </c>
      <c r="N185" s="2085" t="s">
        <v>4797</v>
      </c>
      <c r="O185" s="1943"/>
      <c r="P185" s="3697">
        <v>2</v>
      </c>
      <c r="Q185" s="3698"/>
      <c r="AA185" s="2492">
        <v>184</v>
      </c>
    </row>
    <row r="186" spans="1:27" ht="15" customHeight="1">
      <c r="A186" s="1947"/>
      <c r="B186" s="3612" t="s">
        <v>4683</v>
      </c>
      <c r="C186" s="3612"/>
      <c r="D186" s="3612"/>
      <c r="E186" s="3612"/>
      <c r="F186" s="3612"/>
      <c r="G186" s="3612"/>
      <c r="H186" s="3612"/>
      <c r="I186" s="3612"/>
      <c r="J186" s="3612"/>
      <c r="K186" s="1937"/>
      <c r="L186" s="1986">
        <f>ROUNDUP('Part V-Revenues &amp; Expenses'!$P$67*M186,0)</f>
        <v>1</v>
      </c>
      <c r="M186" s="1984">
        <f>'DCA Underwriting Assumptions'!$Q$149</f>
        <v>0.02</v>
      </c>
      <c r="N186" s="2085" t="s">
        <v>4795</v>
      </c>
      <c r="O186" s="1943"/>
      <c r="P186" s="3699">
        <v>1</v>
      </c>
      <c r="Q186" s="3700"/>
      <c r="AA186" s="2492">
        <v>185</v>
      </c>
    </row>
    <row r="187" spans="1:27" ht="15" customHeight="1">
      <c r="A187" s="1947" t="s">
        <v>697</v>
      </c>
      <c r="B187" s="1941" t="s">
        <v>4798</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4801</v>
      </c>
      <c r="G188" s="1937"/>
      <c r="M188" s="3701" t="s">
        <v>5147</v>
      </c>
      <c r="N188" s="3702"/>
      <c r="O188" s="3702"/>
      <c r="P188" s="3702"/>
      <c r="Q188" s="3703"/>
      <c r="AA188" s="2492">
        <v>187</v>
      </c>
    </row>
    <row r="189" spans="1:27" ht="15.6" customHeight="1">
      <c r="A189" s="1947"/>
      <c r="C189" s="1937"/>
      <c r="D189" s="1934" t="s">
        <v>4799</v>
      </c>
      <c r="O189" s="1943"/>
      <c r="P189" s="1962" t="s">
        <v>2644</v>
      </c>
      <c r="Q189" s="1955"/>
      <c r="R189" s="1943"/>
      <c r="AA189" s="2492">
        <v>188</v>
      </c>
    </row>
    <row r="190" spans="1:27" ht="15.6" customHeight="1">
      <c r="A190" s="1947"/>
      <c r="C190" s="1937"/>
      <c r="D190" s="1934" t="s">
        <v>4800</v>
      </c>
      <c r="O190" s="1943"/>
      <c r="P190" s="1959" t="s">
        <v>2644</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30.75" customHeight="1">
      <c r="A192" s="3604" t="s">
        <v>5156</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4678</v>
      </c>
      <c r="P198" s="3669" t="s">
        <v>2644</v>
      </c>
      <c r="Q198" s="3704"/>
      <c r="AA198" s="2492">
        <v>197</v>
      </c>
    </row>
    <row r="199" spans="1:27" ht="28.5" customHeight="1">
      <c r="B199" s="3612" t="s">
        <v>5002</v>
      </c>
      <c r="C199" s="3612"/>
      <c r="D199" s="3612"/>
      <c r="E199" s="3612"/>
      <c r="F199" s="3612"/>
      <c r="G199" s="3612"/>
      <c r="H199" s="3612"/>
      <c r="I199" s="3612"/>
      <c r="J199" s="3612"/>
      <c r="K199" s="3612"/>
      <c r="L199" s="3612"/>
      <c r="M199" s="3612"/>
      <c r="N199" s="3612"/>
      <c r="P199" s="3699" t="s">
        <v>2641</v>
      </c>
      <c r="Q199" s="3700"/>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0" t="s">
        <v>4733</v>
      </c>
      <c r="D201" s="3690"/>
      <c r="E201" s="3690"/>
      <c r="F201" s="3614" t="s">
        <v>5026</v>
      </c>
      <c r="G201" s="3615"/>
      <c r="H201" s="3615"/>
      <c r="I201" s="3615"/>
      <c r="J201" s="3615"/>
      <c r="K201" s="3615"/>
      <c r="L201" s="3615"/>
      <c r="M201" s="3615"/>
      <c r="N201" s="3615"/>
      <c r="O201" s="3615"/>
      <c r="P201" s="3615"/>
      <c r="Q201" s="3616"/>
      <c r="AA201" s="2492">
        <v>200</v>
      </c>
    </row>
    <row r="202" spans="1:27" ht="30" customHeight="1">
      <c r="B202" s="1970" t="s">
        <v>1612</v>
      </c>
      <c r="C202" s="3690" t="s">
        <v>4734</v>
      </c>
      <c r="D202" s="3690"/>
      <c r="E202" s="3690"/>
      <c r="F202" s="3690"/>
      <c r="G202" s="3691"/>
      <c r="H202" s="3614" t="s">
        <v>5025</v>
      </c>
      <c r="I202" s="3615"/>
      <c r="J202" s="3615"/>
      <c r="K202" s="3615"/>
      <c r="L202" s="3615"/>
      <c r="M202" s="3615"/>
      <c r="N202" s="3615"/>
      <c r="O202" s="3615"/>
      <c r="P202" s="3615"/>
      <c r="Q202" s="3616"/>
      <c r="AA202" s="2492">
        <v>201</v>
      </c>
    </row>
    <row r="203" spans="1:27" ht="20.25" customHeight="1">
      <c r="A203" s="1947"/>
      <c r="B203" s="1970" t="s">
        <v>1613</v>
      </c>
      <c r="C203" s="3612" t="s">
        <v>4684</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38.25" customHeight="1">
      <c r="A207" s="3604" t="s">
        <v>5158</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4802</v>
      </c>
      <c r="C212" s="1941"/>
      <c r="D212" s="1940"/>
      <c r="E212" s="1940"/>
      <c r="F212" s="1940"/>
      <c r="G212" s="1940"/>
      <c r="H212" s="1940"/>
      <c r="N212" s="1961"/>
      <c r="O212" s="1936" t="s">
        <v>1726</v>
      </c>
      <c r="P212" s="3636"/>
      <c r="Q212" s="3696"/>
      <c r="AA212" s="2492">
        <v>211</v>
      </c>
    </row>
    <row r="213" spans="1:27" ht="15" customHeight="1">
      <c r="A213" s="1947"/>
      <c r="B213" s="1934" t="s">
        <v>4792</v>
      </c>
      <c r="O213" s="1943"/>
      <c r="P213" s="3714" t="s">
        <v>5159</v>
      </c>
      <c r="Q213" s="3715"/>
      <c r="AA213" s="2492">
        <v>212</v>
      </c>
    </row>
    <row r="214" spans="1:27" ht="15" customHeight="1">
      <c r="A214" s="1947"/>
      <c r="B214" s="1934" t="s">
        <v>4803</v>
      </c>
      <c r="O214" s="1943"/>
      <c r="P214" s="3716" t="s">
        <v>5159</v>
      </c>
      <c r="Q214" s="3717"/>
      <c r="AA214" s="2492">
        <v>213</v>
      </c>
    </row>
    <row r="215" spans="1:27" ht="15" customHeight="1">
      <c r="A215" s="1947"/>
      <c r="B215" s="1934" t="s">
        <v>4804</v>
      </c>
      <c r="C215" s="1937"/>
      <c r="K215" s="1935"/>
      <c r="M215" s="1943"/>
      <c r="O215" s="1988"/>
      <c r="P215" s="3716" t="s">
        <v>2644</v>
      </c>
      <c r="Q215" s="3717"/>
      <c r="AA215" s="2492">
        <v>214</v>
      </c>
    </row>
    <row r="216" spans="1:27" ht="29.45" customHeight="1">
      <c r="A216" s="1947"/>
      <c r="B216" s="3612" t="s">
        <v>4805</v>
      </c>
      <c r="C216" s="3612"/>
      <c r="D216" s="3612"/>
      <c r="E216" s="3612"/>
      <c r="F216" s="3612"/>
      <c r="G216" s="3612"/>
      <c r="H216" s="3612"/>
      <c r="I216" s="3612"/>
      <c r="J216" s="3612"/>
      <c r="K216" s="3612"/>
      <c r="L216" s="3612"/>
      <c r="M216" s="3612"/>
      <c r="N216" s="3612"/>
      <c r="O216" s="3612"/>
      <c r="P216" s="3718" t="s">
        <v>2644</v>
      </c>
      <c r="Q216" s="3719"/>
      <c r="AA216" s="2492">
        <v>215</v>
      </c>
    </row>
    <row r="217" spans="1:27" ht="15.6" customHeight="1">
      <c r="A217" s="1947"/>
      <c r="B217" s="1934" t="s">
        <v>4806</v>
      </c>
      <c r="M217" s="1937"/>
      <c r="N217" s="1937"/>
      <c r="O217" s="3711" t="s">
        <v>5047</v>
      </c>
      <c r="P217" s="3712"/>
      <c r="Q217" s="3713"/>
      <c r="AA217" s="2493">
        <v>216</v>
      </c>
    </row>
    <row r="218" spans="1:27" ht="15.6" customHeight="1">
      <c r="A218" s="1947"/>
      <c r="B218" s="1933" t="s">
        <v>4685</v>
      </c>
      <c r="G218" s="3607"/>
      <c r="H218" s="3644"/>
      <c r="I218" s="3644"/>
      <c r="J218" s="3644"/>
      <c r="K218" s="3644"/>
      <c r="L218" s="3645"/>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65.25" customHeight="1">
      <c r="A220" s="3623" t="s">
        <v>5210</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4686</v>
      </c>
      <c r="C226" s="3612"/>
      <c r="D226" s="3612"/>
      <c r="E226" s="3612"/>
      <c r="F226" s="3612"/>
      <c r="G226" s="3612"/>
      <c r="H226" s="3612"/>
      <c r="I226" s="3612"/>
      <c r="J226" s="3612"/>
      <c r="K226" s="3612"/>
      <c r="L226" s="3612"/>
      <c r="M226" s="3612"/>
      <c r="N226" s="3612"/>
      <c r="O226" s="3613"/>
      <c r="P226" s="3621"/>
      <c r="Q226" s="3622"/>
      <c r="AA226" s="2493">
        <v>225</v>
      </c>
    </row>
    <row r="227" spans="1:28" s="1990" customFormat="1" ht="15">
      <c r="A227" s="1963" t="s">
        <v>1836</v>
      </c>
      <c r="B227" s="2087" t="s">
        <v>4808</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4807</v>
      </c>
      <c r="D228" s="2060"/>
      <c r="E228" s="2060"/>
      <c r="G228" s="3690" t="s">
        <v>5003</v>
      </c>
      <c r="H228" s="3690"/>
      <c r="I228" s="3690"/>
      <c r="J228" s="3690"/>
      <c r="K228" s="3690"/>
      <c r="L228" s="3690"/>
      <c r="M228" s="3690"/>
      <c r="N228" s="3690"/>
      <c r="O228" s="3691"/>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0" t="s">
        <v>4809</v>
      </c>
      <c r="D229" s="3690"/>
      <c r="E229" s="3690"/>
      <c r="F229" s="3690"/>
      <c r="G229" s="3690" t="s">
        <v>5004</v>
      </c>
      <c r="H229" s="3690"/>
      <c r="I229" s="3690"/>
      <c r="J229" s="3690"/>
      <c r="K229" s="3690"/>
      <c r="L229" s="3690"/>
      <c r="M229" s="3690"/>
      <c r="N229" s="3690"/>
      <c r="O229" s="3691"/>
      <c r="P229" s="2089"/>
      <c r="Q229" s="1960"/>
      <c r="R229" s="2056"/>
      <c r="S229" s="2056"/>
      <c r="T229" s="2056"/>
      <c r="U229" s="2056"/>
      <c r="V229" s="2056"/>
      <c r="W229" s="2056"/>
      <c r="X229" s="2056"/>
      <c r="Y229" s="2056"/>
      <c r="Z229" s="2056"/>
      <c r="AA229" s="2492">
        <v>228</v>
      </c>
      <c r="AB229" s="2056"/>
    </row>
    <row r="230" spans="1:28" ht="44.25" customHeight="1">
      <c r="A230" s="1963" t="s">
        <v>1838</v>
      </c>
      <c r="B230" s="3690" t="s">
        <v>4810</v>
      </c>
      <c r="C230" s="3690"/>
      <c r="D230" s="3690"/>
      <c r="E230" s="3690"/>
      <c r="F230" s="3690"/>
      <c r="G230" s="3690"/>
      <c r="H230" s="3690"/>
      <c r="I230" s="3690"/>
      <c r="J230" s="3690"/>
      <c r="K230" s="3690"/>
      <c r="L230" s="3690"/>
      <c r="M230" s="3690"/>
      <c r="N230" s="3690"/>
      <c r="O230" s="3690"/>
      <c r="P230" s="2092"/>
      <c r="Q230" s="2091"/>
      <c r="AA230" s="2492">
        <v>229</v>
      </c>
    </row>
    <row r="231" spans="1:28" ht="20.25" customHeight="1">
      <c r="A231" s="1947" t="s">
        <v>697</v>
      </c>
      <c r="B231" s="1934" t="s">
        <v>4811</v>
      </c>
      <c r="G231" s="1934" t="s">
        <v>4812</v>
      </c>
      <c r="P231" s="2092"/>
      <c r="Q231" s="2091"/>
      <c r="AA231" s="2492">
        <v>230</v>
      </c>
    </row>
    <row r="232" spans="1:28" ht="45" customHeight="1">
      <c r="A232" s="1963" t="s">
        <v>1957</v>
      </c>
      <c r="B232" s="3690" t="s">
        <v>4687</v>
      </c>
      <c r="C232" s="3690"/>
      <c r="D232" s="3690"/>
      <c r="E232" s="3690"/>
      <c r="F232" s="3690"/>
      <c r="G232" s="3690"/>
      <c r="H232" s="3690"/>
      <c r="I232" s="3690"/>
      <c r="J232" s="3690"/>
      <c r="K232" s="3690"/>
      <c r="L232" s="3690"/>
      <c r="M232" s="3690"/>
      <c r="N232" s="3690"/>
      <c r="O232" s="3690"/>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5160</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607"/>
      <c r="Q239" s="3645"/>
      <c r="AA239" s="2492">
        <v>238</v>
      </c>
    </row>
    <row r="240" spans="1:28" ht="20.25" customHeight="1">
      <c r="A240" s="1947"/>
      <c r="B240" s="3722" t="s">
        <v>3269</v>
      </c>
      <c r="C240" s="3722"/>
      <c r="D240" s="3722"/>
      <c r="E240" s="3722"/>
      <c r="F240" s="3723"/>
      <c r="G240" s="3724"/>
      <c r="H240" s="3725"/>
      <c r="I240" s="3725"/>
      <c r="J240" s="3725"/>
      <c r="K240" s="3725"/>
      <c r="L240" s="3725"/>
      <c r="M240" s="3725"/>
      <c r="N240" s="3725"/>
      <c r="O240" s="3725"/>
      <c r="P240" s="3725"/>
      <c r="Q240" s="3726"/>
      <c r="AA240" s="2492">
        <v>239</v>
      </c>
    </row>
    <row r="241" spans="1:27" ht="20.25" customHeight="1" thickBot="1">
      <c r="A241" s="1947"/>
      <c r="B241" s="3722" t="s">
        <v>3270</v>
      </c>
      <c r="C241" s="3722"/>
      <c r="D241" s="3722"/>
      <c r="E241" s="3722"/>
      <c r="F241" s="3723"/>
      <c r="G241" s="3727"/>
      <c r="H241" s="3728"/>
      <c r="I241" s="3728"/>
      <c r="J241" s="3728"/>
      <c r="K241" s="3728"/>
      <c r="L241" s="3728"/>
      <c r="M241" s="3728"/>
      <c r="N241" s="3728"/>
      <c r="O241" s="3728"/>
      <c r="P241" s="3729"/>
      <c r="Q241" s="3730"/>
      <c r="AA241" s="2492">
        <v>240</v>
      </c>
    </row>
    <row r="242" spans="1:27" ht="30" customHeight="1" thickBot="1">
      <c r="A242" s="1947"/>
      <c r="B242" s="3690" t="s">
        <v>5005</v>
      </c>
      <c r="C242" s="3690"/>
      <c r="D242" s="3690"/>
      <c r="E242" s="3690"/>
      <c r="F242" s="3690"/>
      <c r="G242" s="3690"/>
      <c r="H242" s="3690"/>
      <c r="I242" s="3690"/>
      <c r="J242" s="3690"/>
      <c r="K242" s="3690"/>
      <c r="L242" s="3690"/>
      <c r="M242" s="3690"/>
      <c r="N242" s="3690"/>
      <c r="O242" s="3738"/>
      <c r="P242" s="3739"/>
      <c r="Q242" s="3740"/>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5161</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607"/>
      <c r="Q249" s="3645"/>
      <c r="AA249" s="2492">
        <v>248</v>
      </c>
    </row>
    <row r="250" spans="1:27" ht="15.6" customHeight="1">
      <c r="A250" s="1947"/>
      <c r="B250" s="1934" t="s">
        <v>2431</v>
      </c>
      <c r="D250" s="1950"/>
      <c r="E250" s="1950"/>
      <c r="O250" s="1943"/>
      <c r="P250" s="3669"/>
      <c r="Q250" s="3670"/>
      <c r="AA250" s="2492">
        <v>249</v>
      </c>
    </row>
    <row r="251" spans="1:27" ht="15.6" customHeight="1">
      <c r="A251" s="1947"/>
      <c r="B251" s="1934" t="s">
        <v>3057</v>
      </c>
      <c r="D251" s="1950"/>
      <c r="E251" s="1950"/>
      <c r="O251" s="1943"/>
      <c r="P251" s="3697"/>
      <c r="Q251" s="3731"/>
      <c r="AA251" s="2492">
        <v>250</v>
      </c>
    </row>
    <row r="252" spans="1:27" ht="15.6" customHeight="1">
      <c r="A252" s="1947"/>
      <c r="B252" s="1934" t="s">
        <v>689</v>
      </c>
      <c r="D252" s="3604"/>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5162</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607"/>
      <c r="Q259" s="3645"/>
      <c r="AA259" s="2492">
        <v>258</v>
      </c>
    </row>
    <row r="260" spans="1:27" ht="15.6" customHeight="1">
      <c r="B260" s="1934" t="s">
        <v>4147</v>
      </c>
      <c r="O260" s="1943"/>
      <c r="P260" s="3621"/>
      <c r="Q260" s="3622"/>
      <c r="AA260" s="2492">
        <v>259</v>
      </c>
    </row>
    <row r="261" spans="1:27" ht="15.6" customHeight="1">
      <c r="A261" s="1947"/>
      <c r="B261" s="3741" t="s">
        <v>700</v>
      </c>
      <c r="C261" s="3741"/>
      <c r="D261" s="3741"/>
      <c r="E261" s="3741"/>
      <c r="F261" s="3741"/>
      <c r="G261" s="3741"/>
      <c r="H261" s="3741"/>
      <c r="I261" s="3741"/>
      <c r="J261" s="3741"/>
      <c r="K261" s="3741"/>
      <c r="L261" s="3741"/>
      <c r="M261" s="3741"/>
      <c r="N261" s="3741"/>
      <c r="O261" s="3741"/>
      <c r="P261" s="3669"/>
      <c r="Q261" s="3670"/>
      <c r="AA261" s="2492">
        <v>260</v>
      </c>
    </row>
    <row r="262" spans="1:27" ht="15.6" customHeight="1">
      <c r="B262" s="3741" t="s">
        <v>4814</v>
      </c>
      <c r="C262" s="3741"/>
      <c r="D262" s="3741"/>
      <c r="E262" s="3741"/>
      <c r="F262" s="3741"/>
      <c r="G262" s="3741"/>
      <c r="H262" s="3741"/>
      <c r="I262" s="3741"/>
      <c r="J262" s="3741"/>
      <c r="K262" s="3741"/>
      <c r="L262" s="3741"/>
      <c r="M262" s="3741"/>
      <c r="N262" s="3741"/>
      <c r="O262" s="3741"/>
      <c r="P262" s="3697"/>
      <c r="Q262" s="3731"/>
      <c r="AA262" s="2493">
        <v>261</v>
      </c>
    </row>
    <row r="263" spans="1:27" ht="27.95" customHeight="1">
      <c r="A263" s="1947"/>
      <c r="B263" s="3742" t="s">
        <v>4813</v>
      </c>
      <c r="C263" s="3742"/>
      <c r="D263" s="3742"/>
      <c r="E263" s="3742"/>
      <c r="F263" s="3742"/>
      <c r="G263" s="3742"/>
      <c r="H263" s="3742"/>
      <c r="I263" s="3742"/>
      <c r="J263" s="3742"/>
      <c r="K263" s="3742"/>
      <c r="L263" s="3742"/>
      <c r="M263" s="3742"/>
      <c r="N263" s="3742"/>
      <c r="O263" s="3742"/>
      <c r="P263" s="3699"/>
      <c r="Q263" s="3705"/>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604" t="s">
        <v>5183</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611"/>
      <c r="Q270" s="3611"/>
      <c r="AA270" s="2492">
        <v>269</v>
      </c>
    </row>
    <row r="271" spans="1:27" ht="28.5" customHeight="1">
      <c r="A271" s="1937"/>
      <c r="B271" s="3612" t="s">
        <v>5016</v>
      </c>
      <c r="C271" s="3612"/>
      <c r="D271" s="3612"/>
      <c r="E271" s="3612"/>
      <c r="F271" s="3612"/>
      <c r="G271" s="3612"/>
      <c r="H271" s="3612"/>
      <c r="I271" s="3612"/>
      <c r="J271" s="3612"/>
      <c r="K271" s="3612"/>
      <c r="L271" s="3612"/>
      <c r="M271" s="3612"/>
      <c r="N271" s="3612"/>
      <c r="O271" s="1992"/>
      <c r="P271" s="3621" t="s">
        <v>5155</v>
      </c>
      <c r="Q271" s="3622"/>
      <c r="AA271" s="2493">
        <v>270</v>
      </c>
    </row>
    <row r="272" spans="1:27" ht="44.45" customHeight="1">
      <c r="A272" s="1963"/>
      <c r="B272" s="3690" t="s">
        <v>4690</v>
      </c>
      <c r="C272" s="3690"/>
      <c r="D272" s="3690"/>
      <c r="E272" s="3690"/>
      <c r="F272" s="3690"/>
      <c r="G272" s="3690"/>
      <c r="H272" s="3690"/>
      <c r="I272" s="3690"/>
      <c r="J272" s="3690"/>
      <c r="K272" s="3690"/>
      <c r="L272" s="3690"/>
      <c r="M272" s="3690"/>
      <c r="N272" s="3690"/>
      <c r="O272" s="3691"/>
      <c r="P272" s="3694" t="s">
        <v>5155</v>
      </c>
      <c r="Q272" s="3694"/>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5163</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4815</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4816</v>
      </c>
      <c r="C280" s="1941"/>
      <c r="D280" s="1942"/>
      <c r="E280" s="1940"/>
      <c r="F280" s="1940"/>
      <c r="G280" s="1940"/>
      <c r="H280" s="1940"/>
      <c r="I280" s="1940"/>
      <c r="J280" s="1940"/>
      <c r="K280" s="1940"/>
      <c r="L280" s="1940"/>
      <c r="M280" s="1940"/>
      <c r="Q280" s="1932"/>
      <c r="AA280" s="2493">
        <v>279</v>
      </c>
    </row>
    <row r="281" spans="1:27" ht="30" customHeight="1">
      <c r="A281" s="1942"/>
      <c r="B281" s="3690" t="s">
        <v>5006</v>
      </c>
      <c r="C281" s="3690"/>
      <c r="D281" s="3690"/>
      <c r="E281" s="3690"/>
      <c r="F281" s="3690"/>
      <c r="G281" s="3690"/>
      <c r="H281" s="3690"/>
      <c r="I281" s="3690"/>
      <c r="J281" s="3690"/>
      <c r="K281" s="3690"/>
      <c r="L281" s="3690"/>
      <c r="M281" s="3690"/>
      <c r="N281" s="3690"/>
      <c r="O281" s="3691"/>
      <c r="P281" s="3743" t="s">
        <v>5155</v>
      </c>
      <c r="Q281" s="3744"/>
      <c r="AA281" s="2492">
        <v>280</v>
      </c>
    </row>
    <row r="282" spans="1:27" ht="14.25" customHeight="1">
      <c r="A282" s="2090" t="s">
        <v>1838</v>
      </c>
      <c r="B282" s="1941" t="s">
        <v>4817</v>
      </c>
      <c r="C282" s="1937"/>
      <c r="D282" s="1942"/>
      <c r="E282" s="1940"/>
      <c r="F282" s="1940"/>
      <c r="G282" s="1940"/>
      <c r="H282" s="1940"/>
      <c r="I282" s="1940"/>
      <c r="J282" s="1940"/>
      <c r="K282" s="1940"/>
      <c r="L282" s="1940"/>
      <c r="M282" s="1940"/>
      <c r="Q282" s="1932"/>
      <c r="AA282" s="2492">
        <v>281</v>
      </c>
    </row>
    <row r="283" spans="1:27" ht="29.25" customHeight="1">
      <c r="A283" s="1942"/>
      <c r="B283" s="3690" t="s">
        <v>5013</v>
      </c>
      <c r="C283" s="3690"/>
      <c r="D283" s="3690"/>
      <c r="E283" s="3690"/>
      <c r="F283" s="3690"/>
      <c r="G283" s="3690"/>
      <c r="H283" s="3690"/>
      <c r="I283" s="3690"/>
      <c r="J283" s="3690"/>
      <c r="K283" s="3690"/>
      <c r="L283" s="3690"/>
      <c r="M283" s="3690"/>
      <c r="N283" s="3690"/>
      <c r="O283" s="3691"/>
      <c r="P283" s="3743" t="s">
        <v>5155</v>
      </c>
      <c r="Q283" s="3744"/>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5163</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4818</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5007</v>
      </c>
      <c r="C291" s="3612"/>
      <c r="D291" s="3612"/>
      <c r="E291" s="3612"/>
      <c r="F291" s="3612"/>
      <c r="G291" s="3612"/>
      <c r="H291" s="3612"/>
      <c r="I291" s="3612"/>
      <c r="J291" s="3612"/>
      <c r="K291" s="3612"/>
      <c r="L291" s="3612"/>
      <c r="M291" s="3612"/>
      <c r="N291" s="3612"/>
      <c r="O291" s="3613"/>
      <c r="P291" s="3694" t="s">
        <v>2641</v>
      </c>
      <c r="Q291" s="3694"/>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120.75" customHeight="1">
      <c r="A293" s="3604" t="s">
        <v>5164</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4820</v>
      </c>
      <c r="C298" s="1937"/>
      <c r="D298" s="1933"/>
      <c r="E298" s="1940"/>
      <c r="F298" s="1940"/>
      <c r="G298" s="1940"/>
      <c r="H298" s="1940"/>
      <c r="J298" s="1940"/>
      <c r="K298" s="1940"/>
      <c r="L298" s="1940"/>
      <c r="M298" s="1940"/>
      <c r="O298" s="1936" t="s">
        <v>1726</v>
      </c>
      <c r="P298" s="3607"/>
      <c r="Q298" s="3645"/>
      <c r="S298" s="1937"/>
      <c r="T298" s="1937"/>
      <c r="AA298" s="2493">
        <v>297</v>
      </c>
    </row>
    <row r="299" spans="1:27" ht="15">
      <c r="A299" s="1941"/>
      <c r="B299" s="3612" t="s">
        <v>5017</v>
      </c>
      <c r="C299" s="3612"/>
      <c r="D299" s="3612"/>
      <c r="E299" s="3612"/>
      <c r="F299" s="3612"/>
      <c r="G299" s="3612"/>
      <c r="H299" s="3612"/>
      <c r="I299" s="3612"/>
      <c r="J299" s="3612"/>
      <c r="K299" s="3612"/>
      <c r="L299" s="3612"/>
      <c r="M299" s="3612"/>
      <c r="N299" s="3612"/>
      <c r="O299" s="3613"/>
      <c r="P299" s="3694" t="s">
        <v>2641</v>
      </c>
      <c r="Q299" s="3694"/>
      <c r="AA299" s="2492">
        <v>298</v>
      </c>
    </row>
    <row r="300" spans="1:27" ht="30" customHeight="1">
      <c r="A300" s="1941"/>
      <c r="B300" s="3690" t="s">
        <v>4821</v>
      </c>
      <c r="C300" s="3690"/>
      <c r="D300" s="3690"/>
      <c r="E300" s="3690"/>
      <c r="F300" s="3690"/>
      <c r="G300" s="3690"/>
      <c r="H300" s="3690"/>
      <c r="I300" s="3690"/>
      <c r="J300" s="3690"/>
      <c r="K300" s="3690"/>
      <c r="L300" s="3690"/>
      <c r="M300" s="3690"/>
      <c r="N300" s="3690"/>
      <c r="O300" s="3691"/>
      <c r="P300" s="3745" t="s">
        <v>2641</v>
      </c>
      <c r="Q300" s="3745"/>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5165</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607"/>
      <c r="Q307" s="3645"/>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53.25" customHeight="1">
      <c r="A309" s="3604" t="s">
        <v>5166</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5047</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5048</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5049</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5050</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5025</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5026</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5027</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5028</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5029</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5030</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5041</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5042</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5043</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5044</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5045</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5046</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9" workbookViewId="0">
      <selection activeCell="O141" sqref="O141:P141"/>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Pinecrest Village, Douglas, Coffee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49" t="s">
        <v>5015</v>
      </c>
      <c r="B3" s="3749"/>
      <c r="C3" s="3749"/>
      <c r="D3" s="3749"/>
      <c r="E3" s="3749"/>
      <c r="F3" s="3749"/>
      <c r="G3" s="3749"/>
      <c r="H3" s="3749"/>
      <c r="I3" s="3749"/>
      <c r="J3" s="3749"/>
      <c r="K3" s="3749"/>
      <c r="L3" s="3749"/>
      <c r="M3" s="2113" t="s">
        <v>4729</v>
      </c>
      <c r="N3" s="2111"/>
      <c r="O3" s="2114" t="s">
        <v>2045</v>
      </c>
      <c r="P3" s="2113" t="s">
        <v>245</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1151</v>
      </c>
      <c r="M6" s="2122"/>
      <c r="N6" s="2123"/>
      <c r="O6" s="2124">
        <f>O407</f>
        <v>84</v>
      </c>
      <c r="P6" s="2124">
        <f>P407</f>
        <v>12</v>
      </c>
      <c r="Q6" s="2125" t="s">
        <v>4692</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4748</v>
      </c>
      <c r="B10" s="3751"/>
      <c r="C10" s="3751"/>
      <c r="D10" s="3751"/>
      <c r="E10" s="3752" t="str">
        <f>IF(OR((C12-A12&gt;0),(D12-A12&gt;0)),"Points Exceed Max!","")</f>
        <v/>
      </c>
      <c r="F10" s="3753" t="s">
        <v>4712</v>
      </c>
      <c r="G10" s="3754"/>
      <c r="H10" s="3754"/>
      <c r="I10" s="3755"/>
      <c r="J10" s="3759" t="s">
        <v>4040</v>
      </c>
      <c r="K10" s="3760"/>
      <c r="L10" s="3760"/>
      <c r="M10" s="3761"/>
      <c r="O10" s="3765" t="s">
        <v>4713</v>
      </c>
      <c r="P10" s="3765"/>
      <c r="Q10" s="2134"/>
      <c r="AM10" s="2494">
        <v>10</v>
      </c>
    </row>
    <row r="11" spans="1:39" ht="13.5" customHeight="1">
      <c r="A11" s="3767" t="s">
        <v>4729</v>
      </c>
      <c r="B11" s="3768"/>
      <c r="C11" s="2135" t="s">
        <v>2880</v>
      </c>
      <c r="D11" s="2136" t="s">
        <v>245</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4764</v>
      </c>
      <c r="G12" s="3793"/>
      <c r="H12" s="3796" t="s">
        <v>4605</v>
      </c>
      <c r="I12" s="3797"/>
      <c r="J12" s="3800" t="s">
        <v>2386</v>
      </c>
      <c r="K12" s="3800"/>
      <c r="L12" s="3796" t="s">
        <v>4606</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5" t="s">
        <v>4949</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8" t="s">
        <v>3305</v>
      </c>
      <c r="D16" s="3779"/>
      <c r="E16" s="3779"/>
      <c r="F16" s="3779"/>
      <c r="G16" s="3780"/>
      <c r="H16" s="3781" t="s">
        <v>4950</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5038</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4893</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4951</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4952</v>
      </c>
      <c r="D23" s="2145"/>
      <c r="E23" s="2145"/>
      <c r="G23" s="2108"/>
      <c r="L23" s="2146"/>
      <c r="M23" s="2111">
        <v>3</v>
      </c>
      <c r="N23" s="2152"/>
      <c r="O23" s="2006" t="s">
        <v>5142</v>
      </c>
      <c r="P23" s="2155"/>
      <c r="Q23" s="2149"/>
      <c r="R23" s="2150"/>
      <c r="T23" s="2140"/>
      <c r="U23" s="2140"/>
      <c r="AM23" s="2495">
        <v>23</v>
      </c>
    </row>
    <row r="24" spans="1:39" s="2109" customFormat="1" ht="15.95" customHeight="1">
      <c r="A24" s="2112"/>
      <c r="B24" s="2154" t="s">
        <v>2326</v>
      </c>
      <c r="C24" s="2141" t="s">
        <v>4953</v>
      </c>
      <c r="D24" s="2145"/>
      <c r="E24" s="2145"/>
      <c r="G24" s="2108"/>
      <c r="K24" s="2147"/>
      <c r="M24" s="2111">
        <v>1</v>
      </c>
      <c r="N24" s="2152"/>
      <c r="O24" s="2003" t="s">
        <v>5142</v>
      </c>
      <c r="P24" s="2156"/>
      <c r="R24" s="2108"/>
      <c r="T24" s="2140"/>
      <c r="U24" s="2140"/>
      <c r="AM24" s="2495">
        <v>24</v>
      </c>
    </row>
    <row r="25" spans="1:39" ht="15.95"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4954</v>
      </c>
      <c r="C26" s="3787"/>
      <c r="D26" s="3787"/>
      <c r="E26" s="3787"/>
      <c r="F26" s="3787"/>
      <c r="G26" s="3787"/>
      <c r="H26" s="3787"/>
      <c r="I26" s="3787"/>
      <c r="J26" s="3787"/>
      <c r="K26" s="3787"/>
      <c r="L26" s="3787"/>
      <c r="M26" s="2111"/>
      <c r="N26" s="2147"/>
      <c r="O26" s="2021" t="s">
        <v>2644</v>
      </c>
      <c r="P26" s="2160"/>
      <c r="R26" s="2146"/>
      <c r="T26" s="2140"/>
      <c r="U26" s="2140"/>
      <c r="AM26" s="2495">
        <v>26</v>
      </c>
    </row>
    <row r="27" spans="1:39" ht="15.95" customHeight="1">
      <c r="A27" s="2112" t="s">
        <v>697</v>
      </c>
      <c r="B27" s="2120" t="s">
        <v>4853</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2" t="s">
        <v>4955</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1839</v>
      </c>
      <c r="C29" s="2163" t="s">
        <v>4956</v>
      </c>
      <c r="D29" s="2161"/>
      <c r="E29" s="2161"/>
      <c r="F29" s="2161"/>
      <c r="G29" s="2161"/>
      <c r="H29" s="2161"/>
      <c r="I29" s="2161"/>
      <c r="J29" s="2161"/>
      <c r="K29" s="2161"/>
      <c r="L29" s="2161"/>
      <c r="M29" s="2165"/>
      <c r="N29" s="2166"/>
      <c r="O29" s="2097" t="s">
        <v>2644</v>
      </c>
      <c r="P29" s="2167"/>
      <c r="R29" s="2168"/>
      <c r="T29" s="2169"/>
      <c r="U29" s="2169"/>
      <c r="AM29" s="2494">
        <v>29</v>
      </c>
    </row>
    <row r="30" spans="1:39" s="2164" customFormat="1">
      <c r="B30" s="2154" t="s">
        <v>1841</v>
      </c>
      <c r="C30" s="2163" t="s">
        <v>4957</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4958</v>
      </c>
      <c r="D31" s="2161"/>
      <c r="E31" s="2161"/>
      <c r="F31" s="2161"/>
      <c r="G31" s="2161"/>
      <c r="H31" s="2161"/>
      <c r="J31" s="3803"/>
      <c r="K31" s="3804"/>
      <c r="L31" s="3804"/>
      <c r="M31" s="3805"/>
      <c r="N31" s="2166"/>
      <c r="O31" s="2166"/>
      <c r="P31" s="2166"/>
      <c r="R31" s="2168"/>
      <c r="T31" s="2169"/>
      <c r="U31" s="2169"/>
      <c r="AM31" s="2494">
        <v>31</v>
      </c>
    </row>
    <row r="32" spans="1:39" s="2164" customFormat="1">
      <c r="B32" s="2154" t="s">
        <v>2326</v>
      </c>
      <c r="C32" s="3802" t="s">
        <v>4959</v>
      </c>
      <c r="D32" s="3802"/>
      <c r="E32" s="3802"/>
      <c r="F32" s="3802"/>
      <c r="G32" s="3802"/>
      <c r="H32" s="3802"/>
      <c r="I32" s="3802"/>
      <c r="J32" s="3802"/>
      <c r="K32" s="3802"/>
      <c r="L32" s="3802"/>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4722</v>
      </c>
      <c r="D38" s="2133"/>
      <c r="E38" s="2133"/>
      <c r="J38" s="2178"/>
      <c r="M38" s="2179"/>
      <c r="O38" s="3809" t="s">
        <v>4723</v>
      </c>
      <c r="P38" s="3809" t="s">
        <v>3065</v>
      </c>
      <c r="Q38" s="2144"/>
      <c r="R38" s="2106"/>
      <c r="S38" s="2106"/>
      <c r="T38" s="2106"/>
      <c r="U38" s="2106"/>
      <c r="V38" s="2106"/>
      <c r="W38" s="2108"/>
      <c r="X38" s="2108"/>
      <c r="AM38" s="2495">
        <v>38</v>
      </c>
    </row>
    <row r="39" spans="1:39" s="2109" customFormat="1" ht="15.95" customHeight="1">
      <c r="A39" s="2132"/>
      <c r="C39" s="2109" t="s">
        <v>4586</v>
      </c>
      <c r="G39" s="3812" t="s">
        <v>2843</v>
      </c>
      <c r="H39" s="3813"/>
      <c r="I39" s="3814"/>
      <c r="J39" s="3815"/>
      <c r="K39" s="2356"/>
      <c r="M39" s="2179"/>
      <c r="O39" s="3810"/>
      <c r="P39" s="3810"/>
      <c r="Q39" s="2144"/>
      <c r="V39" s="2106"/>
      <c r="W39" s="2108"/>
      <c r="X39" s="2108"/>
      <c r="AM39" s="2494">
        <v>39</v>
      </c>
    </row>
    <row r="40" spans="1:39" s="2109" customFormat="1" ht="15.95" customHeight="1">
      <c r="A40" s="2132"/>
      <c r="C40" s="2109" t="s">
        <v>4960</v>
      </c>
      <c r="G40" s="3816" t="s">
        <v>1641</v>
      </c>
      <c r="H40" s="3817"/>
      <c r="I40" s="2180"/>
      <c r="J40" s="2181"/>
      <c r="M40" s="2179"/>
      <c r="O40" s="3810"/>
      <c r="P40" s="3810"/>
      <c r="Q40" s="2144"/>
      <c r="V40" s="2106"/>
      <c r="W40" s="2108"/>
      <c r="X40" s="2108"/>
      <c r="AM40" s="2494">
        <v>40</v>
      </c>
    </row>
    <row r="41" spans="1:39" s="2109" customFormat="1" ht="15.95" customHeight="1">
      <c r="A41" s="2132"/>
      <c r="C41" s="2109" t="s">
        <v>4585</v>
      </c>
      <c r="G41" s="3818" t="s">
        <v>2843</v>
      </c>
      <c r="H41" s="3819"/>
      <c r="I41" s="2356"/>
      <c r="M41" s="2179"/>
      <c r="O41" s="3811"/>
      <c r="P41" s="3811"/>
      <c r="Q41" s="2144"/>
      <c r="V41" s="2106"/>
      <c r="W41" s="2108"/>
      <c r="X41" s="2108"/>
      <c r="AM41" s="2494">
        <v>41</v>
      </c>
    </row>
    <row r="42" spans="1:39" ht="28.5" customHeight="1" thickBot="1">
      <c r="A42" s="2183"/>
      <c r="B42" s="2147"/>
      <c r="C42" s="3787" t="s">
        <v>4854</v>
      </c>
      <c r="D42" s="3787"/>
      <c r="E42" s="3787"/>
      <c r="F42" s="3787"/>
      <c r="G42" s="3787"/>
      <c r="H42" s="3787"/>
      <c r="I42" s="3787"/>
      <c r="J42" s="3787"/>
      <c r="K42" s="3787"/>
      <c r="L42" s="3787"/>
      <c r="M42" s="2109"/>
      <c r="N42" s="2147"/>
      <c r="O42" s="2395" t="s">
        <v>2843</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4961</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4962</v>
      </c>
      <c r="D47" s="2163"/>
      <c r="L47" s="2163"/>
      <c r="M47" s="2129"/>
      <c r="N47" s="2147"/>
      <c r="O47" s="2019"/>
      <c r="P47" s="2187"/>
      <c r="Q47" s="2185"/>
      <c r="R47" s="2150"/>
      <c r="S47" s="2106"/>
      <c r="T47" s="2106"/>
      <c r="U47" s="2106"/>
      <c r="V47" s="2106"/>
      <c r="AM47" s="2494">
        <v>47</v>
      </c>
    </row>
    <row r="48" spans="1:39" ht="28.5" customHeight="1">
      <c r="A48" s="2112"/>
      <c r="B48" s="3802" t="s">
        <v>4855</v>
      </c>
      <c r="C48" s="3802"/>
      <c r="D48" s="3802"/>
      <c r="E48" s="3802"/>
      <c r="F48" s="3802"/>
      <c r="G48" s="3802"/>
      <c r="H48" s="3802"/>
      <c r="I48" s="3802"/>
      <c r="J48" s="3802"/>
      <c r="K48" s="3802"/>
      <c r="L48" s="3802"/>
      <c r="M48" s="3802"/>
      <c r="N48" s="2147"/>
      <c r="O48" s="2103"/>
      <c r="P48" s="2190"/>
      <c r="Q48" s="2185"/>
      <c r="R48" s="2150"/>
      <c r="S48" s="2106"/>
      <c r="T48" s="2106"/>
      <c r="U48" s="2106"/>
      <c r="V48" s="2106"/>
      <c r="AM48" s="2495">
        <v>48</v>
      </c>
    </row>
    <row r="49" spans="1:39" ht="15.95" customHeight="1">
      <c r="A49" s="2109"/>
      <c r="B49" s="2131" t="s">
        <v>4844</v>
      </c>
      <c r="C49" s="2109"/>
      <c r="D49" s="2109"/>
      <c r="E49" s="2109"/>
      <c r="F49" s="2109"/>
      <c r="G49" s="2109"/>
      <c r="H49" s="2109"/>
      <c r="I49" s="2109"/>
      <c r="J49" s="2109"/>
      <c r="K49" s="2109"/>
      <c r="M49" s="2111"/>
      <c r="O49" s="2122"/>
      <c r="R49" s="2106"/>
      <c r="S49" s="2106"/>
      <c r="T49" s="2106"/>
      <c r="U49" s="2106"/>
      <c r="V49" s="2106"/>
      <c r="AM49" s="2494">
        <v>49</v>
      </c>
    </row>
    <row r="50" spans="1:39" ht="59.25" customHeight="1">
      <c r="A50" s="3830" t="s">
        <v>5167</v>
      </c>
      <c r="B50" s="3831"/>
      <c r="C50" s="3831"/>
      <c r="D50" s="3831"/>
      <c r="E50" s="3831"/>
      <c r="F50" s="3831"/>
      <c r="G50" s="3831"/>
      <c r="H50" s="3831"/>
      <c r="I50" s="3831"/>
      <c r="J50" s="3831"/>
      <c r="K50" s="3831"/>
      <c r="L50" s="3831"/>
      <c r="M50" s="3831"/>
      <c r="N50" s="3831"/>
      <c r="O50" s="3831"/>
      <c r="P50" s="3832"/>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3257</v>
      </c>
      <c r="D55" s="2193"/>
      <c r="E55" s="2193"/>
      <c r="F55" s="2109"/>
      <c r="G55" s="2109"/>
      <c r="H55" s="2109"/>
      <c r="J55" s="2194"/>
      <c r="K55" s="2179"/>
      <c r="L55" s="2142" t="s">
        <v>4893</v>
      </c>
      <c r="M55" s="2122">
        <v>5</v>
      </c>
      <c r="N55" s="2111"/>
      <c r="O55" s="2195">
        <f>O56+O78</f>
        <v>1</v>
      </c>
      <c r="P55" s="2195">
        <f>P56+P78</f>
        <v>0</v>
      </c>
      <c r="Q55" s="2144" t="s">
        <v>415</v>
      </c>
      <c r="AM55" s="2495">
        <v>55</v>
      </c>
    </row>
    <row r="56" spans="1:39" ht="15.95" customHeight="1" thickBot="1">
      <c r="A56" s="2196" t="s">
        <v>1836</v>
      </c>
      <c r="B56" s="2120" t="s">
        <v>3258</v>
      </c>
      <c r="L56" s="2146" t="str">
        <f>IF(O56&lt;=M56,"","* * Check Score! * *")</f>
        <v/>
      </c>
      <c r="M56" s="2111">
        <v>4</v>
      </c>
      <c r="N56" s="2147"/>
      <c r="O56" s="2022">
        <v>1</v>
      </c>
      <c r="P56" s="2197"/>
      <c r="Q56" s="2149" t="str">
        <f>IF(O56&lt;=M56,"","*CHECK!*")</f>
        <v/>
      </c>
      <c r="R56" s="2125"/>
      <c r="S56" s="2125"/>
      <c r="T56" s="2107"/>
      <c r="AM56" s="2495">
        <v>56</v>
      </c>
    </row>
    <row r="57" spans="1:39" ht="30.95" customHeight="1">
      <c r="A57" s="2196"/>
      <c r="B57" s="3833" t="s">
        <v>4858</v>
      </c>
      <c r="C57" s="3833"/>
      <c r="D57" s="3833"/>
      <c r="E57" s="3833"/>
      <c r="F57" s="3833"/>
      <c r="G57" s="3833"/>
      <c r="H57" s="3833"/>
      <c r="I57" s="3833"/>
      <c r="J57" s="3833"/>
      <c r="K57" s="3833"/>
      <c r="L57" s="3833"/>
      <c r="N57" s="2108"/>
      <c r="O57" s="2023" t="s">
        <v>2641</v>
      </c>
      <c r="P57" s="2198"/>
      <c r="R57" s="2125"/>
      <c r="S57" s="2125"/>
      <c r="T57" s="2107"/>
      <c r="AM57" s="2494">
        <v>57</v>
      </c>
    </row>
    <row r="58" spans="1:39" ht="15.95" customHeight="1">
      <c r="A58" s="2196"/>
      <c r="B58" s="2199"/>
      <c r="C58" s="2164"/>
      <c r="D58" s="2164"/>
      <c r="E58" s="2164"/>
      <c r="F58" s="2164"/>
      <c r="G58" s="2164"/>
      <c r="H58" s="2164"/>
      <c r="I58" s="2164"/>
      <c r="J58" s="3834" t="s">
        <v>1843</v>
      </c>
      <c r="K58" s="3834"/>
      <c r="M58" s="3834" t="s">
        <v>1843</v>
      </c>
      <c r="N58" s="3834"/>
      <c r="O58" s="3834"/>
      <c r="P58" s="3834"/>
      <c r="R58" s="2200"/>
      <c r="S58" s="2200"/>
      <c r="T58" s="2107"/>
      <c r="AM58" s="2494">
        <v>58</v>
      </c>
    </row>
    <row r="59" spans="1:39" ht="14.1" customHeight="1">
      <c r="A59" s="2147"/>
      <c r="B59" s="2151" t="s">
        <v>1839</v>
      </c>
      <c r="C59" s="2109" t="s">
        <v>1386</v>
      </c>
      <c r="I59" s="2147"/>
      <c r="J59" s="3820"/>
      <c r="K59" s="3821"/>
      <c r="L59" s="2147"/>
      <c r="M59" s="3822"/>
      <c r="N59" s="3823"/>
      <c r="O59" s="3823"/>
      <c r="P59" s="3824"/>
      <c r="R59" s="2146"/>
      <c r="AM59" s="2495">
        <v>59</v>
      </c>
    </row>
    <row r="60" spans="1:39" ht="14.1" customHeight="1">
      <c r="A60" s="2142"/>
      <c r="B60" s="2154" t="s">
        <v>1841</v>
      </c>
      <c r="C60" s="2109" t="s">
        <v>3070</v>
      </c>
      <c r="I60" s="2166"/>
      <c r="J60" s="3825"/>
      <c r="K60" s="3826"/>
      <c r="L60" s="2166"/>
      <c r="M60" s="3827"/>
      <c r="N60" s="3828"/>
      <c r="O60" s="3828"/>
      <c r="P60" s="3829"/>
      <c r="AM60" s="2495">
        <v>60</v>
      </c>
    </row>
    <row r="61" spans="1:39" ht="14.1" customHeight="1">
      <c r="B61" s="2151" t="s">
        <v>2326</v>
      </c>
      <c r="C61" s="2109" t="s">
        <v>3828</v>
      </c>
      <c r="I61" s="2147"/>
      <c r="J61" s="3825"/>
      <c r="K61" s="3826"/>
      <c r="L61" s="2147"/>
      <c r="M61" s="3827"/>
      <c r="N61" s="3828"/>
      <c r="O61" s="3828"/>
      <c r="P61" s="3829"/>
      <c r="AM61" s="2495">
        <v>61</v>
      </c>
    </row>
    <row r="62" spans="1:39" ht="14.1" customHeight="1">
      <c r="B62" s="2151" t="s">
        <v>1149</v>
      </c>
      <c r="C62" s="2109" t="s">
        <v>4856</v>
      </c>
      <c r="I62" s="2147"/>
      <c r="J62" s="3825"/>
      <c r="K62" s="3826"/>
      <c r="L62" s="2147"/>
      <c r="M62" s="3827"/>
      <c r="N62" s="3828"/>
      <c r="O62" s="3828"/>
      <c r="P62" s="3829"/>
      <c r="AM62" s="2495">
        <v>62</v>
      </c>
    </row>
    <row r="63" spans="1:39" ht="14.1" customHeight="1">
      <c r="A63" s="2142"/>
      <c r="B63" s="2154" t="s">
        <v>1150</v>
      </c>
      <c r="C63" s="2109" t="s">
        <v>2987</v>
      </c>
      <c r="I63" s="2147"/>
      <c r="J63" s="3825"/>
      <c r="K63" s="3826"/>
      <c r="L63" s="2147"/>
      <c r="M63" s="3827"/>
      <c r="N63" s="3828"/>
      <c r="O63" s="3828"/>
      <c r="P63" s="3829"/>
      <c r="AM63" s="2494">
        <v>63</v>
      </c>
    </row>
    <row r="64" spans="1:39" ht="14.1" customHeight="1">
      <c r="A64" s="2147"/>
      <c r="B64" s="2151" t="s">
        <v>1737</v>
      </c>
      <c r="C64" s="2109" t="s">
        <v>2466</v>
      </c>
      <c r="I64" s="2166"/>
      <c r="J64" s="3825"/>
      <c r="K64" s="3826"/>
      <c r="L64" s="2166"/>
      <c r="M64" s="3827"/>
      <c r="N64" s="3828"/>
      <c r="O64" s="3828"/>
      <c r="P64" s="3829"/>
      <c r="AM64" s="2495">
        <v>64</v>
      </c>
    </row>
    <row r="65" spans="1:39" ht="14.1" customHeight="1">
      <c r="B65" s="2151" t="s">
        <v>472</v>
      </c>
      <c r="C65" s="2109" t="s">
        <v>1385</v>
      </c>
      <c r="I65" s="2147"/>
      <c r="J65" s="3825"/>
      <c r="K65" s="3826"/>
      <c r="L65" s="2147"/>
      <c r="M65" s="3827"/>
      <c r="N65" s="3828"/>
      <c r="O65" s="3828"/>
      <c r="P65" s="3829"/>
      <c r="AM65" s="2494">
        <v>65</v>
      </c>
    </row>
    <row r="66" spans="1:39" ht="14.1" customHeight="1">
      <c r="B66" s="2151" t="s">
        <v>473</v>
      </c>
      <c r="C66" s="2109" t="s">
        <v>4129</v>
      </c>
      <c r="I66" s="2147"/>
      <c r="J66" s="3825"/>
      <c r="K66" s="3826"/>
      <c r="L66" s="2147"/>
      <c r="M66" s="3827"/>
      <c r="N66" s="3828"/>
      <c r="O66" s="3828"/>
      <c r="P66" s="3829"/>
      <c r="R66" s="2146"/>
      <c r="AM66" s="2494">
        <v>66</v>
      </c>
    </row>
    <row r="67" spans="1:39" ht="14.1" customHeight="1">
      <c r="A67" s="2142"/>
      <c r="B67" s="2151" t="s">
        <v>3764</v>
      </c>
      <c r="C67" s="2109" t="s">
        <v>3069</v>
      </c>
      <c r="I67" s="2147"/>
      <c r="J67" s="3825"/>
      <c r="K67" s="3826"/>
      <c r="L67" s="2147"/>
      <c r="M67" s="3827"/>
      <c r="N67" s="3828"/>
      <c r="O67" s="3828"/>
      <c r="P67" s="3829"/>
      <c r="R67" s="2146"/>
      <c r="AM67" s="2494">
        <v>67</v>
      </c>
    </row>
    <row r="68" spans="1:39" ht="14.1" customHeight="1">
      <c r="B68" s="2151" t="s">
        <v>4703</v>
      </c>
      <c r="C68" s="2109" t="s">
        <v>4702</v>
      </c>
      <c r="I68" s="2147"/>
      <c r="J68" s="3825"/>
      <c r="K68" s="3826"/>
      <c r="L68" s="2147"/>
      <c r="M68" s="3827"/>
      <c r="N68" s="3828"/>
      <c r="O68" s="3828"/>
      <c r="P68" s="3829"/>
      <c r="R68" s="2146"/>
      <c r="AM68" s="2494">
        <v>68</v>
      </c>
    </row>
    <row r="69" spans="1:39" ht="14.1" customHeight="1">
      <c r="B69" s="2151" t="s">
        <v>4704</v>
      </c>
      <c r="C69" s="2109" t="s">
        <v>4724</v>
      </c>
      <c r="I69" s="2147"/>
      <c r="J69" s="3825"/>
      <c r="K69" s="3826"/>
      <c r="L69" s="2147"/>
      <c r="M69" s="3827"/>
      <c r="N69" s="3828"/>
      <c r="O69" s="3828"/>
      <c r="P69" s="3829"/>
      <c r="R69" s="2146"/>
      <c r="AM69" s="2494">
        <v>69</v>
      </c>
    </row>
    <row r="70" spans="1:39" ht="14.1" customHeight="1" thickBot="1">
      <c r="B70" s="2151" t="s">
        <v>4857</v>
      </c>
      <c r="C70" s="2109" t="s">
        <v>4725</v>
      </c>
      <c r="I70" s="2147"/>
      <c r="J70" s="3825">
        <v>492288</v>
      </c>
      <c r="K70" s="3826"/>
      <c r="L70" s="2147"/>
      <c r="M70" s="3845"/>
      <c r="N70" s="3846"/>
      <c r="O70" s="3846"/>
      <c r="P70" s="3847"/>
      <c r="R70" s="2146"/>
      <c r="AM70" s="2494">
        <v>70</v>
      </c>
    </row>
    <row r="71" spans="1:39" ht="15.95" customHeight="1" thickBot="1">
      <c r="B71" s="2109"/>
      <c r="I71" s="2128" t="s">
        <v>2406</v>
      </c>
      <c r="J71" s="3835">
        <f>SUM(J59:K70)</f>
        <v>492288</v>
      </c>
      <c r="K71" s="3836"/>
      <c r="M71" s="3835">
        <f>SUM($M59:$M70)</f>
        <v>0</v>
      </c>
      <c r="N71" s="3837"/>
      <c r="O71" s="3837"/>
      <c r="P71" s="3836"/>
      <c r="U71" s="3751" t="s">
        <v>4730</v>
      </c>
      <c r="V71" s="3751"/>
      <c r="W71" s="3751"/>
      <c r="X71" s="3751"/>
      <c r="Y71" s="3751"/>
      <c r="Z71" s="3751"/>
      <c r="AM71" s="2495">
        <v>71</v>
      </c>
    </row>
    <row r="72" spans="1:39" ht="15.95" customHeight="1">
      <c r="M72" s="2125"/>
      <c r="N72" s="2125"/>
      <c r="O72" s="2108"/>
      <c r="P72" s="2125"/>
      <c r="U72" s="2201" t="s">
        <v>4728</v>
      </c>
      <c r="V72" s="2201" t="s">
        <v>4729</v>
      </c>
      <c r="W72" s="2201" t="s">
        <v>4728</v>
      </c>
      <c r="X72" s="2201" t="s">
        <v>4729</v>
      </c>
      <c r="Y72" s="2201" t="s">
        <v>4728</v>
      </c>
      <c r="Z72" s="2201" t="s">
        <v>4729</v>
      </c>
      <c r="AM72" s="2495">
        <v>72</v>
      </c>
    </row>
    <row r="73" spans="1:39" ht="15.95" customHeight="1">
      <c r="A73" s="2109"/>
      <c r="B73" s="2151"/>
      <c r="C73" s="2193" t="s">
        <v>2405</v>
      </c>
      <c r="D73" s="2127"/>
      <c r="E73" s="2127"/>
      <c r="I73" s="2147" t="s">
        <v>4132</v>
      </c>
      <c r="J73" s="3838">
        <f>'Part V-Revenues &amp; Expenses'!$P$67</f>
        <v>48</v>
      </c>
      <c r="K73" s="3839"/>
      <c r="L73" s="2125"/>
      <c r="M73" s="2125"/>
      <c r="N73" s="2125"/>
      <c r="O73" s="2108"/>
      <c r="P73" s="2125"/>
      <c r="R73" s="2202" t="s">
        <v>4726</v>
      </c>
      <c r="U73" s="2203">
        <v>500000</v>
      </c>
      <c r="V73" s="2204">
        <v>999999.99</v>
      </c>
      <c r="W73" s="2203">
        <v>1000000</v>
      </c>
      <c r="X73" s="2204">
        <v>1999999.99</v>
      </c>
      <c r="Y73" s="2203">
        <v>2000000</v>
      </c>
      <c r="Z73" s="2205"/>
      <c r="AM73" s="2495">
        <v>73</v>
      </c>
    </row>
    <row r="74" spans="1:39" ht="15.95" customHeight="1">
      <c r="C74" s="2127"/>
      <c r="D74" s="2127"/>
      <c r="E74" s="2127"/>
      <c r="I74" s="2206" t="s">
        <v>4133</v>
      </c>
      <c r="J74" s="3840">
        <f>IF(J73=0,0,J71/J73)</f>
        <v>10256</v>
      </c>
      <c r="K74" s="3841"/>
      <c r="M74" s="3842">
        <f>IF(J73=0,0,M71/J73)</f>
        <v>0</v>
      </c>
      <c r="N74" s="3843"/>
      <c r="O74" s="3843"/>
      <c r="P74" s="3844"/>
      <c r="R74" s="2202" t="s">
        <v>4727</v>
      </c>
      <c r="U74" s="2207">
        <v>10000</v>
      </c>
      <c r="V74" s="2208">
        <v>19999.990000000002</v>
      </c>
      <c r="W74" s="2207">
        <v>20000</v>
      </c>
      <c r="X74" s="2208">
        <v>29999.99</v>
      </c>
      <c r="Y74" s="2207">
        <v>30000</v>
      </c>
      <c r="Z74" s="2209"/>
      <c r="AM74" s="2494">
        <v>74</v>
      </c>
    </row>
    <row r="75" spans="1:39" ht="15.95" customHeight="1">
      <c r="C75" s="2127"/>
      <c r="D75" s="2127"/>
      <c r="E75" s="2127"/>
      <c r="I75" s="2142" t="s">
        <v>4705</v>
      </c>
      <c r="J75" s="3838">
        <f>IF(AND(J62+J67&gt;0,J71&gt;=$Y$73),$Y$75, IF(AND(J62+J67=0,J71&gt;=$Y$73),$Y$76, IF(AND(J62+J67&gt;0,J71&gt;=$W$73),$W$75,IF(AND(J62+J67=0,J71&gt;=$W$73),$W$76, IF(AND(J62+J67&gt;0,J71&gt;=$U$73),$U$75,IF(AND(J62+J67=0,J71&gt;=$U$73),$U$76,0))))))</f>
        <v>0</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4859</v>
      </c>
      <c r="U75" s="3849">
        <v>2</v>
      </c>
      <c r="V75" s="3850"/>
      <c r="W75" s="3849">
        <v>3</v>
      </c>
      <c r="X75" s="3850"/>
      <c r="Y75" s="3849">
        <v>4</v>
      </c>
      <c r="Z75" s="3850"/>
      <c r="AM75" s="2494">
        <v>75</v>
      </c>
    </row>
    <row r="76" spans="1:39" ht="15.95" customHeight="1">
      <c r="C76" s="2127"/>
      <c r="D76" s="2127"/>
      <c r="E76" s="2127"/>
      <c r="I76" s="2142" t="s">
        <v>4134</v>
      </c>
      <c r="J76" s="3851">
        <f>IF(AND(J62+J67&gt;0,$J$74&gt;=$Y$74),$Y$75, IF(AND(J62+J67=0,$J$74&gt;=$Y$74),$Y$76, IF(AND(J62+J67&gt;0,$J$74&gt;=$W$74),$W$75,IF(AND(J62+J67=0,$J$74&gt;=$W$74),$W$76, IF(AND(J62+J67&gt;0,$J$74&gt;=$U$74),$U$75,IF(AND(J62+J67=0,$J$74&gt;=$U$74),$U$76,0))))))</f>
        <v>1</v>
      </c>
      <c r="K76" s="3852"/>
      <c r="L76" s="2125"/>
      <c r="M76" s="3851">
        <f>IF(AND(M62+M67&gt;0,$M$74&gt;=$Y$74),$Y$75, IF(AND(M62+M67=0,$M$74&gt;=$Y$74),$Y$76, IF(AND(M62+M67&gt;0,$M$74&gt;=$W$74),$W$75,IF(AND(M62+M67=0,$M$74&gt;=$W$74),$W$76, 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4860</v>
      </c>
      <c r="U76" s="3849">
        <v>1</v>
      </c>
      <c r="V76" s="3850"/>
      <c r="W76" s="3849">
        <v>2</v>
      </c>
      <c r="X76" s="3850"/>
      <c r="Y76" s="3849">
        <v>3</v>
      </c>
      <c r="Z76" s="3850"/>
      <c r="AM76" s="2495">
        <v>76</v>
      </c>
    </row>
    <row r="77" spans="1:39" ht="15.95" customHeight="1" thickBot="1">
      <c r="AM77" s="2494">
        <v>77</v>
      </c>
    </row>
    <row r="78" spans="1:39" ht="15.95" customHeight="1" thickBot="1">
      <c r="A78" s="2112" t="s">
        <v>1838</v>
      </c>
      <c r="B78" s="2120" t="s">
        <v>4861</v>
      </c>
      <c r="D78" s="2109"/>
      <c r="F78" s="2210" t="s">
        <v>4865</v>
      </c>
      <c r="K78" s="2109"/>
      <c r="L78" s="2211" t="s">
        <v>4864</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4862</v>
      </c>
      <c r="F79" s="2213" t="s">
        <v>4863</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4961</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4706</v>
      </c>
      <c r="D82" s="2109"/>
      <c r="E82" s="2109"/>
      <c r="F82" s="2109"/>
      <c r="G82" s="2109"/>
      <c r="H82" s="2109"/>
      <c r="I82" s="2109"/>
      <c r="J82" s="2109"/>
      <c r="K82" s="2109"/>
      <c r="M82" s="2109"/>
      <c r="N82" s="2219"/>
      <c r="O82" s="2003"/>
      <c r="P82" s="2156"/>
      <c r="V82" s="2140"/>
      <c r="AM82" s="2495">
        <v>82</v>
      </c>
    </row>
    <row r="83" spans="1:39" ht="15.95" customHeight="1">
      <c r="A83" s="2109"/>
      <c r="B83" s="2131" t="s">
        <v>4844</v>
      </c>
      <c r="C83" s="2109"/>
      <c r="D83" s="2109"/>
      <c r="E83" s="2109"/>
      <c r="F83" s="2109"/>
      <c r="G83" s="2109"/>
      <c r="H83" s="2109"/>
      <c r="I83" s="2109"/>
      <c r="J83" s="2109"/>
      <c r="K83" s="2109"/>
      <c r="M83" s="2111"/>
      <c r="O83" s="2122"/>
      <c r="AM83" s="2494">
        <v>83</v>
      </c>
    </row>
    <row r="84" spans="1:39" ht="90.75" customHeight="1">
      <c r="A84" s="3830" t="s">
        <v>5219</v>
      </c>
      <c r="B84" s="3831"/>
      <c r="C84" s="3831"/>
      <c r="D84" s="3831"/>
      <c r="E84" s="3831"/>
      <c r="F84" s="3831"/>
      <c r="G84" s="3831"/>
      <c r="H84" s="3831"/>
      <c r="I84" s="3831"/>
      <c r="J84" s="3831"/>
      <c r="K84" s="3831"/>
      <c r="L84" s="3831"/>
      <c r="M84" s="3831"/>
      <c r="N84" s="3831"/>
      <c r="O84" s="3831"/>
      <c r="P84" s="3832"/>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3906</v>
      </c>
      <c r="D89" s="2133"/>
      <c r="E89" s="2133"/>
      <c r="K89" s="2146"/>
      <c r="L89" s="2142" t="s">
        <v>4893</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1836</v>
      </c>
      <c r="B92" s="2120" t="s">
        <v>4743</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4938</v>
      </c>
      <c r="D93" s="2133"/>
      <c r="E93" s="2133"/>
      <c r="L93" s="2146"/>
      <c r="M93" s="2226"/>
      <c r="N93" s="2111"/>
      <c r="O93" s="2025"/>
      <c r="P93" s="2227"/>
      <c r="Q93" s="2144"/>
      <c r="AM93" s="2494">
        <v>93</v>
      </c>
    </row>
    <row r="94" spans="1:39" s="2109" customFormat="1" ht="15.95" customHeight="1">
      <c r="A94" s="2112"/>
      <c r="B94" s="2154" t="s">
        <v>1841</v>
      </c>
      <c r="C94" s="2109" t="s">
        <v>4939</v>
      </c>
      <c r="D94" s="2133"/>
      <c r="E94" s="2133"/>
      <c r="L94" s="2146"/>
      <c r="M94" s="2226"/>
      <c r="N94" s="2111"/>
      <c r="O94" s="2104"/>
      <c r="P94" s="2228"/>
      <c r="Q94" s="2144"/>
      <c r="AM94" s="2495">
        <v>94</v>
      </c>
    </row>
    <row r="95" spans="1:39" s="2109" customFormat="1" ht="15.95" customHeight="1">
      <c r="A95" s="2112" t="s">
        <v>1838</v>
      </c>
      <c r="B95" s="2120" t="s">
        <v>4744</v>
      </c>
      <c r="D95" s="2133"/>
      <c r="E95" s="2133"/>
      <c r="L95" s="2146"/>
      <c r="M95" s="2112"/>
      <c r="N95" s="2111"/>
      <c r="O95" s="2026">
        <v>3</v>
      </c>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4499</v>
      </c>
      <c r="C100" s="2161"/>
      <c r="D100" s="2161"/>
      <c r="E100" s="2161"/>
      <c r="F100" s="2161"/>
      <c r="G100" s="2230" t="s">
        <v>4870</v>
      </c>
      <c r="H100" s="2161"/>
      <c r="K100" s="2161"/>
      <c r="L100" s="2142" t="s">
        <v>4893</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4867</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787" t="s">
        <v>5022</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75" customHeight="1">
      <c r="A103" s="2112"/>
      <c r="B103" s="2151" t="s">
        <v>1839</v>
      </c>
      <c r="C103" s="2109" t="s">
        <v>4868</v>
      </c>
      <c r="D103" s="2127"/>
      <c r="E103" s="2127"/>
      <c r="F103" s="2127"/>
      <c r="G103" s="2109"/>
      <c r="H103" s="2127"/>
      <c r="I103" s="2127"/>
      <c r="J103" s="3858" t="s">
        <v>4679</v>
      </c>
      <c r="K103" s="3859"/>
      <c r="L103" s="2127"/>
      <c r="M103" s="2214">
        <v>2</v>
      </c>
      <c r="N103" s="2233"/>
      <c r="O103" s="2009">
        <v>2</v>
      </c>
      <c r="P103" s="2279"/>
      <c r="Q103" s="2149" t="str">
        <f>IF(OR($O103=$M103,$O103=0,$O103=""),"","*CHECK!*")</f>
        <v/>
      </c>
      <c r="R103" s="2150"/>
      <c r="AM103" s="2494">
        <v>103</v>
      </c>
    </row>
    <row r="104" spans="1:39" s="2164" customFormat="1" ht="15.75" customHeight="1">
      <c r="A104" s="2112"/>
      <c r="B104" s="2154" t="s">
        <v>1841</v>
      </c>
      <c r="C104" s="2109" t="s">
        <v>4869</v>
      </c>
      <c r="D104" s="2127"/>
      <c r="E104" s="2127"/>
      <c r="F104" s="2127"/>
      <c r="G104" s="2109"/>
      <c r="H104" s="2127"/>
      <c r="J104" s="2499" t="s">
        <v>4680</v>
      </c>
      <c r="K104" s="2500" t="s">
        <v>5040</v>
      </c>
      <c r="L104" s="2497"/>
      <c r="M104" s="2214">
        <v>3</v>
      </c>
      <c r="N104" s="2233"/>
      <c r="O104" s="2013"/>
      <c r="P104" s="2238"/>
      <c r="Q104" s="2149" t="str">
        <f>IF(OR($O104=$M104,$O104=0,$O104=""),"","*CHECK!*")</f>
        <v/>
      </c>
      <c r="R104" s="2150"/>
      <c r="AM104" s="2495">
        <v>104</v>
      </c>
    </row>
    <row r="105" spans="1:39">
      <c r="B105" s="2108" t="s">
        <v>5021</v>
      </c>
      <c r="H105" s="2142"/>
      <c r="J105" s="2498">
        <f>'Part V-Revenues &amp; Expenses'!P67*'Part VIII Scoring Criteria'!K105</f>
        <v>4.8000000000000007</v>
      </c>
      <c r="K105" s="2454">
        <v>0.1</v>
      </c>
      <c r="M105" s="2142" t="s">
        <v>5039</v>
      </c>
      <c r="O105" s="2001">
        <v>5</v>
      </c>
      <c r="P105" s="2241"/>
      <c r="T105" s="2140"/>
      <c r="U105" s="2140"/>
      <c r="AM105" s="2494">
        <v>105</v>
      </c>
    </row>
    <row r="106" spans="1:39" ht="41.25" customHeight="1">
      <c r="B106" s="3857" t="s">
        <v>5020</v>
      </c>
      <c r="C106" s="3857"/>
      <c r="D106" s="3857"/>
      <c r="E106" s="3857"/>
      <c r="F106" s="3857"/>
      <c r="G106" s="3857"/>
      <c r="H106" s="3857"/>
      <c r="I106" s="3857"/>
      <c r="J106" s="3857"/>
      <c r="K106" s="3857"/>
      <c r="L106" s="3857"/>
      <c r="O106" s="2016" t="s">
        <v>2641</v>
      </c>
      <c r="P106" s="2162"/>
      <c r="T106" s="2140"/>
      <c r="U106" s="2140"/>
      <c r="AM106" s="2494">
        <v>106</v>
      </c>
    </row>
    <row r="107" spans="1:39" ht="15.75"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75" customHeight="1">
      <c r="A108" s="2112" t="s">
        <v>697</v>
      </c>
      <c r="B108" s="2120" t="s">
        <v>4866</v>
      </c>
      <c r="G108" s="2234" t="s">
        <v>4871</v>
      </c>
      <c r="M108" s="2111">
        <v>2</v>
      </c>
      <c r="N108" s="2231"/>
      <c r="O108" s="2157">
        <f>O109-O110</f>
        <v>2</v>
      </c>
      <c r="P108" s="2157">
        <f>P109-P110</f>
        <v>2</v>
      </c>
      <c r="Q108" s="2149" t="str">
        <f>IF(OR($O108=$M108,$O108=0,$O108=""),"","*CHECK!*")</f>
        <v/>
      </c>
      <c r="AM108" s="2494">
        <v>108</v>
      </c>
    </row>
    <row r="109" spans="1:39" s="2109" customFormat="1" ht="15.75" customHeight="1">
      <c r="A109" s="2223"/>
      <c r="C109" s="2120" t="s">
        <v>3092</v>
      </c>
      <c r="D109" s="2133"/>
      <c r="E109" s="2133"/>
      <c r="L109" s="2146"/>
      <c r="M109" s="2112"/>
      <c r="N109" s="2111"/>
      <c r="O109" s="2235">
        <v>2</v>
      </c>
      <c r="P109" s="2235">
        <v>2</v>
      </c>
      <c r="Q109" s="2144"/>
      <c r="AM109" s="2494">
        <v>109</v>
      </c>
    </row>
    <row r="110" spans="1:39" s="2109" customFormat="1" ht="15.75" customHeight="1">
      <c r="A110" s="2223"/>
      <c r="C110" s="2120" t="s">
        <v>3093</v>
      </c>
      <c r="D110" s="2133"/>
      <c r="E110" s="2133"/>
      <c r="L110" s="2146"/>
      <c r="M110" s="2112"/>
      <c r="N110" s="2111"/>
      <c r="O110" s="2026"/>
      <c r="P110" s="2229"/>
      <c r="Q110" s="2144"/>
      <c r="R110" s="2150"/>
      <c r="AM110" s="2494">
        <v>110</v>
      </c>
    </row>
    <row r="111" spans="1:39" ht="15.75" customHeight="1">
      <c r="A111" s="2109"/>
      <c r="B111" s="2131" t="s">
        <v>4844</v>
      </c>
      <c r="C111" s="2109"/>
      <c r="D111" s="2109"/>
      <c r="E111" s="2109"/>
      <c r="F111" s="2109"/>
      <c r="G111" s="2109"/>
      <c r="H111" s="2109"/>
      <c r="I111" s="2109"/>
      <c r="J111" s="2109"/>
      <c r="K111" s="2109"/>
      <c r="M111" s="2111"/>
      <c r="O111" s="2122"/>
      <c r="AM111" s="2494">
        <v>111</v>
      </c>
    </row>
    <row r="112" spans="1:39" ht="249.75" customHeight="1">
      <c r="A112" s="3830" t="s">
        <v>5168</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4845</v>
      </c>
      <c r="D117" s="2133"/>
      <c r="E117" s="2133"/>
      <c r="L117" s="2142" t="s">
        <v>4893</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4888</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4965</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4969</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4963</v>
      </c>
      <c r="F121" s="2112"/>
      <c r="I121" s="2112"/>
      <c r="J121" s="2111" t="s">
        <v>4964</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4966</v>
      </c>
      <c r="F122" s="2112"/>
      <c r="I122" s="2112"/>
      <c r="J122" s="2097" t="s">
        <v>5169</v>
      </c>
      <c r="M122" s="2214"/>
      <c r="N122" s="2147"/>
      <c r="O122" s="2397" t="str">
        <f>IF($J122="Submitted", "Yes","")</f>
        <v>Yes</v>
      </c>
      <c r="P122" s="2153"/>
      <c r="Q122" s="2147"/>
      <c r="V122" s="2140"/>
      <c r="AM122" s="2494">
        <v>122</v>
      </c>
    </row>
    <row r="123" spans="1:39" s="2109" customFormat="1" ht="15.95" customHeight="1">
      <c r="A123" s="2112"/>
      <c r="B123" s="2152"/>
      <c r="C123" s="2120"/>
      <c r="D123" s="2141" t="s">
        <v>4967</v>
      </c>
      <c r="F123" s="2112"/>
      <c r="I123" s="2112"/>
      <c r="J123" s="2016" t="s">
        <v>5169</v>
      </c>
      <c r="K123" s="2147"/>
      <c r="M123" s="2214"/>
      <c r="N123" s="2147"/>
      <c r="O123" s="2398" t="str">
        <f>IF($J123="Submitted", "Yes","")</f>
        <v>Yes</v>
      </c>
      <c r="P123" s="2162"/>
      <c r="Q123" s="2147"/>
      <c r="V123" s="2140"/>
      <c r="AM123" s="2494">
        <v>123</v>
      </c>
    </row>
    <row r="124" spans="1:39" s="2109" customFormat="1" ht="15.95" customHeight="1">
      <c r="A124" s="2112"/>
      <c r="B124" s="2152"/>
      <c r="C124" s="2141" t="s">
        <v>4890</v>
      </c>
      <c r="D124" s="2120"/>
      <c r="F124" s="2112"/>
      <c r="I124" s="2112"/>
      <c r="J124" s="2018" t="s">
        <v>5169</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4891</v>
      </c>
      <c r="D125" s="2120"/>
      <c r="F125" s="2112"/>
      <c r="I125" s="2112"/>
      <c r="J125" s="2018" t="s">
        <v>5169</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4968</v>
      </c>
      <c r="D126" s="2120"/>
      <c r="F126" s="2112"/>
      <c r="I126" s="2112"/>
      <c r="J126" s="2018" t="s">
        <v>5169</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5010</v>
      </c>
      <c r="D127" s="2120"/>
      <c r="F127" s="2112"/>
      <c r="V127" s="2140"/>
      <c r="AM127" s="2494">
        <v>127</v>
      </c>
    </row>
    <row r="128" spans="1:39" s="2109" customFormat="1" ht="15.95" customHeight="1">
      <c r="A128" s="2112"/>
      <c r="B128" s="2154"/>
      <c r="C128" s="2141" t="s">
        <v>5011</v>
      </c>
      <c r="F128" s="2111"/>
      <c r="I128" s="2111"/>
      <c r="J128" s="2018" t="s">
        <v>5169</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4970</v>
      </c>
      <c r="D129" s="2164"/>
      <c r="E129" s="2164"/>
      <c r="F129" s="2164"/>
      <c r="G129" s="2164"/>
      <c r="H129" s="2164"/>
      <c r="I129" s="2164"/>
      <c r="J129" s="2018" t="s">
        <v>5169</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4971</v>
      </c>
      <c r="F130" s="2112"/>
      <c r="I130" s="2112"/>
      <c r="J130" s="2018" t="s">
        <v>5169</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4892</v>
      </c>
      <c r="F131" s="2112"/>
      <c r="I131" s="2112"/>
      <c r="J131" s="2018" t="s">
        <v>5169</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4972</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4889</v>
      </c>
      <c r="H133" s="2147"/>
      <c r="I133" s="2106"/>
      <c r="J133" s="2106"/>
      <c r="K133" s="2106"/>
      <c r="L133" s="2106"/>
      <c r="M133" s="2111"/>
      <c r="N133" s="2111"/>
      <c r="O133" s="2111"/>
      <c r="P133" s="2111"/>
      <c r="Q133" s="2111"/>
      <c r="R133" s="2150"/>
      <c r="AM133" s="2495">
        <v>133</v>
      </c>
    </row>
    <row r="134" spans="1:39" ht="282.75" customHeight="1">
      <c r="B134" s="3854" t="s">
        <v>5170</v>
      </c>
      <c r="C134" s="3855"/>
      <c r="D134" s="3855"/>
      <c r="E134" s="3855"/>
      <c r="F134" s="3855"/>
      <c r="G134" s="3855"/>
      <c r="H134" s="3855"/>
      <c r="I134" s="3855"/>
      <c r="J134" s="3855"/>
      <c r="K134" s="3855"/>
      <c r="L134" s="3855"/>
      <c r="M134" s="3855"/>
      <c r="N134" s="3855"/>
      <c r="O134" s="3855"/>
      <c r="P134" s="3856"/>
      <c r="Q134" s="2192"/>
      <c r="R134" s="2192"/>
      <c r="AM134" s="2495">
        <v>134</v>
      </c>
    </row>
    <row r="135" spans="1:39" ht="15.95" customHeight="1">
      <c r="A135" s="2109"/>
      <c r="B135" s="2131" t="s">
        <v>4844</v>
      </c>
      <c r="C135" s="2109"/>
      <c r="D135" s="2109"/>
      <c r="E135" s="2109"/>
      <c r="F135" s="2109"/>
      <c r="G135" s="2109"/>
      <c r="H135" s="2109"/>
      <c r="I135" s="2109"/>
      <c r="J135" s="2109"/>
      <c r="K135" s="2109"/>
      <c r="M135" s="2111"/>
      <c r="O135" s="2122"/>
      <c r="AM135" s="2495">
        <v>135</v>
      </c>
    </row>
    <row r="136" spans="1:39" ht="82.5" customHeight="1">
      <c r="A136" s="3830" t="s">
        <v>5171</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3063</v>
      </c>
      <c r="G141" s="2120"/>
      <c r="I141" s="2120"/>
      <c r="J141" s="2179"/>
      <c r="K141" s="2244" t="s">
        <v>4940</v>
      </c>
      <c r="L141" s="2142" t="s">
        <v>4893</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4708</v>
      </c>
      <c r="C143" s="2127"/>
      <c r="D143" s="2127"/>
      <c r="E143" s="2127"/>
      <c r="F143" s="2127"/>
      <c r="G143" s="2248"/>
      <c r="H143" s="2108" t="s">
        <v>4540</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3688</v>
      </c>
      <c r="H144" s="2109" t="s">
        <v>3689</v>
      </c>
      <c r="I144" s="2251"/>
      <c r="K144" s="2252">
        <f>'Part V-Revenues &amp; Expenses'!$B$50</f>
        <v>57.916666666666664</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1841</v>
      </c>
      <c r="C145" s="2000" t="s">
        <v>3690</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4711</v>
      </c>
      <c r="H147" s="2255" t="s">
        <v>4693</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4846</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4973</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4844</v>
      </c>
      <c r="C154" s="2109"/>
      <c r="D154" s="2109"/>
      <c r="E154" s="2109"/>
      <c r="F154" s="2109"/>
      <c r="G154" s="2109"/>
      <c r="H154" s="2109"/>
      <c r="I154" s="2109"/>
      <c r="J154" s="2109"/>
      <c r="K154" s="2109"/>
      <c r="M154" s="2111"/>
      <c r="O154" s="2122"/>
      <c r="AM154" s="2495">
        <v>154</v>
      </c>
    </row>
    <row r="155" spans="1:39" ht="146.25" customHeight="1">
      <c r="A155" s="3830" t="s">
        <v>5172</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3278</v>
      </c>
      <c r="L160" s="2142" t="s">
        <v>4893</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3194</v>
      </c>
      <c r="H162" s="2147"/>
      <c r="I162" s="2106"/>
      <c r="J162" s="2106"/>
      <c r="K162" s="2226"/>
      <c r="L162" s="2106"/>
      <c r="M162" s="2111" t="s">
        <v>1163</v>
      </c>
      <c r="N162" s="2147"/>
      <c r="O162" s="2040"/>
      <c r="P162" s="2261"/>
      <c r="R162" s="2150"/>
      <c r="AM162" s="2494">
        <v>162</v>
      </c>
    </row>
    <row r="163" spans="1:39" ht="15.95" customHeight="1">
      <c r="A163" s="2109"/>
      <c r="B163" s="2131" t="s">
        <v>4844</v>
      </c>
      <c r="C163" s="2109"/>
      <c r="D163" s="2109"/>
      <c r="E163" s="2109"/>
      <c r="F163" s="2109"/>
      <c r="G163" s="2109"/>
      <c r="H163" s="2109"/>
      <c r="I163" s="2109"/>
      <c r="J163" s="2109"/>
      <c r="K163" s="2109"/>
      <c r="M163" s="2111"/>
      <c r="O163" s="2122"/>
      <c r="AM163" s="2494">
        <v>163</v>
      </c>
    </row>
    <row r="164" spans="1:39" ht="121.5" customHeight="1">
      <c r="A164" s="3830" t="s">
        <v>5214</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4893</v>
      </c>
      <c r="M169" s="2112">
        <v>6</v>
      </c>
      <c r="N169" s="2147"/>
      <c r="O169" s="2212">
        <f>IF($F$12="New Affordability",MAX(O177,O180),0)</f>
        <v>2</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860" t="s">
        <v>3130</v>
      </c>
      <c r="G171" s="3860"/>
      <c r="H171" s="3860"/>
      <c r="I171" s="3860"/>
      <c r="J171" s="3860" t="s">
        <v>3131</v>
      </c>
      <c r="K171" s="3860"/>
      <c r="L171" s="3860"/>
      <c r="M171" s="3860"/>
      <c r="N171" s="2147"/>
      <c r="O171" s="3861" t="s">
        <v>4694</v>
      </c>
      <c r="P171" s="3861"/>
      <c r="AM171" s="2495">
        <v>171</v>
      </c>
    </row>
    <row r="172" spans="1:39" ht="15.95" customHeight="1">
      <c r="B172" s="2264"/>
      <c r="C172" s="2265" t="s">
        <v>4695</v>
      </c>
      <c r="F172" s="3863">
        <v>31.518917999999999</v>
      </c>
      <c r="G172" s="3864"/>
      <c r="H172" s="3865"/>
      <c r="I172" s="3866"/>
      <c r="J172" s="3863">
        <v>-82.855929000000003</v>
      </c>
      <c r="K172" s="3864"/>
      <c r="L172" s="3865"/>
      <c r="M172" s="3866"/>
      <c r="N172" s="2108"/>
      <c r="O172" s="3862"/>
      <c r="P172" s="3862"/>
      <c r="AM172" s="2494">
        <v>172</v>
      </c>
    </row>
    <row r="173" spans="1:39" ht="15.95" customHeight="1">
      <c r="A173" s="2264"/>
      <c r="B173" s="2266"/>
      <c r="C173" s="2265" t="s">
        <v>4696</v>
      </c>
      <c r="F173" s="3868">
        <v>31.518917999999999</v>
      </c>
      <c r="G173" s="3869"/>
      <c r="H173" s="3870"/>
      <c r="I173" s="3871"/>
      <c r="J173" s="3868">
        <v>-82.855929000000003</v>
      </c>
      <c r="K173" s="3869"/>
      <c r="L173" s="3870"/>
      <c r="M173" s="3871"/>
      <c r="N173" s="2147"/>
      <c r="O173" s="2007"/>
      <c r="P173" s="2267"/>
      <c r="AM173" s="2495">
        <v>173</v>
      </c>
    </row>
    <row r="174" spans="1:39" ht="15.95" customHeight="1">
      <c r="A174" s="2266"/>
      <c r="B174" s="3872" t="s">
        <v>4717</v>
      </c>
      <c r="C174" s="3872"/>
      <c r="D174" s="3872"/>
      <c r="E174" s="3872"/>
      <c r="F174" s="2129" t="s">
        <v>4697</v>
      </c>
      <c r="G174" s="3873" t="s">
        <v>1667</v>
      </c>
      <c r="H174" s="3873"/>
      <c r="I174" s="3873"/>
      <c r="J174" s="3873" t="s">
        <v>4714</v>
      </c>
      <c r="K174" s="3873"/>
      <c r="L174" s="3873"/>
      <c r="M174" s="3873"/>
      <c r="N174" s="3873"/>
      <c r="O174" s="3873"/>
      <c r="P174" s="3873"/>
      <c r="AM174" s="2494">
        <v>174</v>
      </c>
    </row>
    <row r="175" spans="1:39" ht="15.95" customHeight="1">
      <c r="A175" s="2266"/>
      <c r="B175" s="3883" t="s">
        <v>5184</v>
      </c>
      <c r="C175" s="3883"/>
      <c r="D175" s="3883"/>
      <c r="E175" s="3883"/>
      <c r="F175" s="2041" t="s">
        <v>5185</v>
      </c>
      <c r="G175" s="3884" t="s">
        <v>5186</v>
      </c>
      <c r="H175" s="3884"/>
      <c r="I175" s="3884"/>
      <c r="J175" s="3884" t="s">
        <v>5187</v>
      </c>
      <c r="K175" s="3884"/>
      <c r="L175" s="3884"/>
      <c r="M175" s="3884"/>
      <c r="N175" s="3884"/>
      <c r="O175" s="3884"/>
      <c r="P175" s="3884"/>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3152</v>
      </c>
      <c r="F177" s="2268"/>
      <c r="L177" s="2211" t="s">
        <v>4864</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5" customHeight="1">
      <c r="A178" s="2165"/>
      <c r="B178" s="2154" t="s">
        <v>1839</v>
      </c>
      <c r="C178" s="3802" t="s">
        <v>4709</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4564</v>
      </c>
      <c r="S178" s="2272">
        <v>0.25</v>
      </c>
      <c r="T178" s="2272">
        <v>5</v>
      </c>
      <c r="AM178" s="2494">
        <v>178</v>
      </c>
    </row>
    <row r="179" spans="1:39" s="2164" customFormat="1" ht="15.95" customHeight="1">
      <c r="A179" s="2179" t="s">
        <v>1273</v>
      </c>
      <c r="B179" s="2154" t="s">
        <v>1841</v>
      </c>
      <c r="C179" s="2109" t="s">
        <v>4710</v>
      </c>
      <c r="D179" s="2109"/>
      <c r="E179" s="2109"/>
      <c r="F179" s="2109"/>
      <c r="G179" s="2109"/>
      <c r="H179" s="2109"/>
      <c r="I179" s="2109"/>
      <c r="J179" s="2126"/>
      <c r="K179" s="2126"/>
      <c r="L179" s="2146"/>
      <c r="M179" s="2111">
        <v>5</v>
      </c>
      <c r="N179" s="2219"/>
      <c r="O179" s="2005"/>
      <c r="P179" s="2273"/>
      <c r="R179" s="3867"/>
      <c r="S179" s="2272">
        <v>0.5</v>
      </c>
      <c r="T179" s="2272">
        <v>4.5</v>
      </c>
      <c r="AM179" s="2494">
        <v>179</v>
      </c>
    </row>
    <row r="180" spans="1:39" s="2164" customFormat="1" ht="15.95"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5" customHeight="1">
      <c r="A181" s="2132"/>
      <c r="B181" s="2278" t="s">
        <v>1839</v>
      </c>
      <c r="C181" s="2109" t="s">
        <v>4698</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4565</v>
      </c>
      <c r="S181" s="2280">
        <v>0.25</v>
      </c>
      <c r="T181" s="2280">
        <v>3</v>
      </c>
      <c r="U181" s="2164"/>
      <c r="AM181" s="2495">
        <v>181</v>
      </c>
    </row>
    <row r="182" spans="1:39" ht="15.95" customHeight="1">
      <c r="A182" s="2179" t="s">
        <v>1273</v>
      </c>
      <c r="B182" s="2278" t="s">
        <v>1841</v>
      </c>
      <c r="C182" s="2109" t="s">
        <v>4716</v>
      </c>
      <c r="D182" s="2127"/>
      <c r="E182" s="2127"/>
      <c r="F182" s="2127"/>
      <c r="G182" s="2127"/>
      <c r="H182" s="2127"/>
      <c r="I182" s="2127"/>
      <c r="J182" s="2266"/>
      <c r="K182" s="2266"/>
      <c r="L182" s="2146" t="str">
        <f t="shared" si="5"/>
        <v/>
      </c>
      <c r="M182" s="2111">
        <v>1</v>
      </c>
      <c r="N182" s="2219"/>
      <c r="O182" s="2010"/>
      <c r="P182" s="2281"/>
      <c r="R182" s="3867"/>
      <c r="S182" s="2272">
        <v>0.5</v>
      </c>
      <c r="T182" s="2272">
        <v>2</v>
      </c>
      <c r="U182" s="2164"/>
      <c r="AM182" s="2495">
        <v>182</v>
      </c>
    </row>
    <row r="183" spans="1:39" s="2164" customFormat="1" ht="29.25" customHeight="1">
      <c r="A183" s="2282" t="s">
        <v>1273</v>
      </c>
      <c r="B183" s="2278" t="s">
        <v>2326</v>
      </c>
      <c r="C183" s="3802" t="s">
        <v>4715</v>
      </c>
      <c r="D183" s="3802"/>
      <c r="E183" s="3802"/>
      <c r="F183" s="3802"/>
      <c r="G183" s="3802"/>
      <c r="H183" s="3802"/>
      <c r="I183" s="3802"/>
      <c r="J183" s="3802"/>
      <c r="K183" s="3802"/>
      <c r="L183" s="2146" t="str">
        <f t="shared" si="5"/>
        <v/>
      </c>
      <c r="M183" s="2165">
        <v>2</v>
      </c>
      <c r="N183" s="2217"/>
      <c r="O183" s="2042">
        <v>2</v>
      </c>
      <c r="P183" s="2283"/>
      <c r="R183" s="3867"/>
      <c r="S183" s="2277">
        <v>1</v>
      </c>
      <c r="T183" s="2277">
        <v>1</v>
      </c>
      <c r="AM183" s="2494">
        <v>183</v>
      </c>
    </row>
    <row r="184" spans="1:39" ht="15.95" customHeight="1">
      <c r="A184" s="2109"/>
      <c r="B184" s="2131" t="s">
        <v>4844</v>
      </c>
      <c r="C184" s="2109"/>
      <c r="D184" s="2109"/>
      <c r="E184" s="2109"/>
      <c r="F184" s="2109"/>
      <c r="G184" s="2109"/>
      <c r="H184" s="2109"/>
      <c r="I184" s="2109"/>
      <c r="J184" s="2109"/>
      <c r="K184" s="2109"/>
      <c r="M184" s="2111"/>
      <c r="O184" s="2122"/>
      <c r="AM184" s="2494">
        <v>184</v>
      </c>
    </row>
    <row r="185" spans="1:39" ht="225" customHeight="1">
      <c r="A185" s="3830" t="s">
        <v>5188</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5" customHeight="1" thickBot="1">
      <c r="A190" s="2132" t="s">
        <v>1602</v>
      </c>
      <c r="B190" s="2133" t="s">
        <v>4049</v>
      </c>
      <c r="C190" s="2161"/>
      <c r="D190" s="2161"/>
      <c r="E190" s="2161"/>
      <c r="G190" s="2112"/>
      <c r="H190" s="2150"/>
      <c r="L190" s="2142" t="s">
        <v>4893</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10" t="s">
        <v>4731</v>
      </c>
      <c r="G191" s="3810"/>
      <c r="H191" s="3810" t="s">
        <v>4732</v>
      </c>
      <c r="I191" s="3810"/>
      <c r="J191" s="3874" t="s">
        <v>4742</v>
      </c>
      <c r="K191" s="3875"/>
      <c r="L191" s="3880" t="s">
        <v>4718</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5" customHeight="1">
      <c r="B193" s="2289" t="s">
        <v>4524</v>
      </c>
      <c r="C193" s="2290"/>
      <c r="D193" s="2287"/>
      <c r="E193" s="2287"/>
      <c r="F193" s="3811"/>
      <c r="G193" s="3811"/>
      <c r="H193" s="3811"/>
      <c r="I193" s="3811"/>
      <c r="J193" s="3878"/>
      <c r="K193" s="3879"/>
      <c r="L193" s="3811"/>
      <c r="M193" s="3811"/>
      <c r="N193" s="3811"/>
      <c r="O193" s="3882"/>
      <c r="P193" s="2288"/>
      <c r="AM193" s="2495">
        <v>193</v>
      </c>
    </row>
    <row r="194" spans="1:39" ht="15.95" customHeight="1">
      <c r="B194" s="3885" t="s">
        <v>5189</v>
      </c>
      <c r="C194" s="3886"/>
      <c r="D194" s="3886"/>
      <c r="E194" s="3887"/>
      <c r="F194" s="3888" t="s">
        <v>2644</v>
      </c>
      <c r="G194" s="3889"/>
      <c r="H194" s="3888" t="s">
        <v>2641</v>
      </c>
      <c r="I194" s="3889"/>
      <c r="J194" s="3890" t="s">
        <v>2644</v>
      </c>
      <c r="K194" s="3891"/>
      <c r="L194" s="3890" t="s">
        <v>2644</v>
      </c>
      <c r="M194" s="3892"/>
      <c r="N194" s="3892"/>
      <c r="O194" s="3891"/>
      <c r="P194" s="2153"/>
      <c r="AM194" s="2494">
        <v>194</v>
      </c>
    </row>
    <row r="195" spans="1:39" ht="15.95" customHeight="1">
      <c r="B195" s="3893" t="s">
        <v>5190</v>
      </c>
      <c r="C195" s="3894"/>
      <c r="D195" s="3894"/>
      <c r="E195" s="3895"/>
      <c r="F195" s="3896" t="s">
        <v>2644</v>
      </c>
      <c r="G195" s="3897"/>
      <c r="H195" s="3896" t="s">
        <v>2641</v>
      </c>
      <c r="I195" s="3897"/>
      <c r="J195" s="3898" t="s">
        <v>2641</v>
      </c>
      <c r="K195" s="3899"/>
      <c r="L195" s="3898" t="s">
        <v>2641</v>
      </c>
      <c r="M195" s="3900"/>
      <c r="N195" s="3900"/>
      <c r="O195" s="3899"/>
      <c r="P195" s="2155"/>
      <c r="AM195" s="2494">
        <v>195</v>
      </c>
    </row>
    <row r="196" spans="1:39" ht="15.95" customHeight="1">
      <c r="B196" s="3893" t="s">
        <v>5191</v>
      </c>
      <c r="C196" s="3894"/>
      <c r="D196" s="3894"/>
      <c r="E196" s="3895"/>
      <c r="F196" s="3896" t="s">
        <v>2644</v>
      </c>
      <c r="G196" s="3897"/>
      <c r="H196" s="3896" t="s">
        <v>2644</v>
      </c>
      <c r="I196" s="3897"/>
      <c r="J196" s="3898" t="s">
        <v>2641</v>
      </c>
      <c r="K196" s="3899"/>
      <c r="L196" s="3898" t="s">
        <v>2641</v>
      </c>
      <c r="M196" s="3900"/>
      <c r="N196" s="3900"/>
      <c r="O196" s="3899"/>
      <c r="P196" s="2155"/>
      <c r="AM196" s="2494">
        <v>196</v>
      </c>
    </row>
    <row r="197" spans="1:39" ht="15.95" customHeight="1">
      <c r="B197" s="3893"/>
      <c r="C197" s="3894"/>
      <c r="D197" s="3894"/>
      <c r="E197" s="3895"/>
      <c r="F197" s="3896"/>
      <c r="G197" s="3897"/>
      <c r="H197" s="3896"/>
      <c r="I197" s="3897"/>
      <c r="J197" s="3898"/>
      <c r="K197" s="3899"/>
      <c r="L197" s="3898"/>
      <c r="M197" s="3900"/>
      <c r="N197" s="3900"/>
      <c r="O197" s="3899"/>
      <c r="P197" s="2155"/>
      <c r="AM197" s="2494">
        <v>197</v>
      </c>
    </row>
    <row r="198" spans="1:39" ht="15.95" customHeight="1">
      <c r="B198" s="3893"/>
      <c r="C198" s="3894"/>
      <c r="D198" s="3894"/>
      <c r="E198" s="3895"/>
      <c r="F198" s="3896"/>
      <c r="G198" s="3897"/>
      <c r="H198" s="3896"/>
      <c r="I198" s="3897"/>
      <c r="J198" s="3898"/>
      <c r="K198" s="3899"/>
      <c r="L198" s="3898"/>
      <c r="M198" s="3900"/>
      <c r="N198" s="3900"/>
      <c r="O198" s="3899"/>
      <c r="P198" s="2155"/>
      <c r="AM198" s="2495">
        <v>198</v>
      </c>
    </row>
    <row r="199" spans="1:39" ht="15.95" customHeight="1">
      <c r="B199" s="3910"/>
      <c r="C199" s="3911"/>
      <c r="D199" s="3911"/>
      <c r="E199" s="3912"/>
      <c r="F199" s="3913"/>
      <c r="G199" s="3914"/>
      <c r="H199" s="3913"/>
      <c r="I199" s="3914"/>
      <c r="J199" s="3915"/>
      <c r="K199" s="3916"/>
      <c r="L199" s="3915"/>
      <c r="M199" s="3917"/>
      <c r="N199" s="3917"/>
      <c r="O199" s="3916"/>
      <c r="P199" s="2156"/>
      <c r="AM199" s="2495">
        <v>199</v>
      </c>
    </row>
    <row r="200" spans="1:39" ht="15.95" customHeight="1">
      <c r="A200" s="2109"/>
      <c r="B200" s="2131" t="s">
        <v>4844</v>
      </c>
      <c r="C200" s="2109"/>
      <c r="D200" s="2109"/>
      <c r="E200" s="2109"/>
      <c r="F200" s="2109"/>
      <c r="G200" s="2109"/>
      <c r="H200" s="2109"/>
      <c r="I200" s="2109"/>
      <c r="J200" s="2109"/>
      <c r="K200" s="2109"/>
      <c r="M200" s="2111"/>
      <c r="O200" s="2122"/>
      <c r="AM200" s="2495">
        <v>200</v>
      </c>
    </row>
    <row r="201" spans="1:39" ht="277.5" customHeight="1">
      <c r="A201" s="3830" t="s">
        <v>5192</v>
      </c>
      <c r="B201" s="3831"/>
      <c r="C201" s="3831"/>
      <c r="D201" s="3831"/>
      <c r="E201" s="3831"/>
      <c r="F201" s="3831"/>
      <c r="G201" s="3831"/>
      <c r="H201" s="3831"/>
      <c r="I201" s="3831"/>
      <c r="J201" s="3831"/>
      <c r="K201" s="3831"/>
      <c r="L201" s="3831"/>
      <c r="M201" s="3831"/>
      <c r="N201" s="3831"/>
      <c r="O201" s="3831"/>
      <c r="P201" s="3832"/>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3250</v>
      </c>
      <c r="D206" s="2133"/>
      <c r="E206" s="2133"/>
      <c r="K206" s="2453"/>
      <c r="L206" s="2142" t="s">
        <v>4893</v>
      </c>
      <c r="M206" s="2112">
        <v>10</v>
      </c>
      <c r="N206" s="2111"/>
      <c r="O206" s="2212">
        <f>IF(AND($F$12="New Affordability",$C$16="Revitalization/Redevelopment Plans"),MIN($M$206,O212+O222+O229),0)</f>
        <v>10</v>
      </c>
      <c r="P206" s="2212">
        <f>IF(AND($F$12="New Affordability",$C$16="Revitalization/Redevelopment Plans"),MIN($M$206,P212+P222+P229),0)</f>
        <v>0</v>
      </c>
      <c r="Q206" s="2144" t="s">
        <v>415</v>
      </c>
      <c r="R206" s="2444" t="s">
        <v>4996</v>
      </c>
      <c r="S206" s="2106"/>
      <c r="T206" s="2106"/>
      <c r="U206" s="2106"/>
      <c r="V206" s="2445" t="str">
        <f>$C$16</f>
        <v>Revitalization/Redevelopment Plans</v>
      </c>
      <c r="AM206" s="2494">
        <v>206</v>
      </c>
    </row>
    <row r="207" spans="1:39" s="2109" customFormat="1" ht="15.95" customHeight="1">
      <c r="A207" s="2132"/>
      <c r="B207" s="2133"/>
      <c r="D207" s="2133"/>
      <c r="E207" s="2133"/>
      <c r="F207" s="2141" t="s">
        <v>5037</v>
      </c>
      <c r="L207" s="2177"/>
      <c r="M207" s="2112"/>
      <c r="N207" s="2111"/>
      <c r="O207" s="2122">
        <f>MAX(O213+O214+O215+O216+O220+O221+O222+O224+O228+O229,O206)</f>
        <v>22</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4699</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4894</v>
      </c>
      <c r="D209" s="2164"/>
      <c r="E209" s="2164"/>
      <c r="F209" s="2164"/>
      <c r="G209" s="2164"/>
      <c r="H209" s="2164"/>
      <c r="I209" s="2164"/>
      <c r="J209" s="2164"/>
      <c r="K209" s="2164"/>
      <c r="L209" s="2166"/>
      <c r="N209" s="3901">
        <v>8</v>
      </c>
      <c r="O209" s="3902"/>
      <c r="P209" s="3903"/>
      <c r="S209" s="2106"/>
      <c r="T209" s="2106"/>
      <c r="U209" s="2106"/>
      <c r="AM209" s="2495">
        <v>209</v>
      </c>
    </row>
    <row r="210" spans="1:39" s="2109" customFormat="1" ht="15.95" customHeight="1">
      <c r="A210" s="2111"/>
      <c r="B210" s="2147"/>
      <c r="C210" s="2109" t="s">
        <v>4700</v>
      </c>
      <c r="L210" s="2147"/>
      <c r="N210" s="3904" t="s">
        <v>5201</v>
      </c>
      <c r="O210" s="3905"/>
      <c r="P210" s="3906"/>
      <c r="S210" s="2106"/>
      <c r="T210" s="2106"/>
      <c r="U210" s="2106"/>
      <c r="AM210" s="2495">
        <v>210</v>
      </c>
    </row>
    <row r="211" spans="1:39" s="2109" customFormat="1" ht="15.95" customHeight="1">
      <c r="A211" s="2111"/>
      <c r="B211" s="2147"/>
      <c r="C211" s="2109" t="s">
        <v>4895</v>
      </c>
      <c r="L211" s="2147"/>
      <c r="N211" s="3907">
        <v>55</v>
      </c>
      <c r="O211" s="3908"/>
      <c r="P211" s="3909"/>
      <c r="Q211" s="2012"/>
      <c r="S211" s="2106"/>
      <c r="T211" s="2106"/>
      <c r="U211" s="2106"/>
      <c r="V211" s="2012"/>
      <c r="AM211" s="2495">
        <v>211</v>
      </c>
    </row>
    <row r="212" spans="1:39" s="2109" customFormat="1" ht="15.95" customHeight="1">
      <c r="A212" s="2112" t="s">
        <v>1836</v>
      </c>
      <c r="B212" s="2240" t="s">
        <v>4073</v>
      </c>
      <c r="L212" s="2211" t="s">
        <v>4893</v>
      </c>
      <c r="M212" s="2111">
        <v>6</v>
      </c>
      <c r="N212" s="2147"/>
      <c r="O212" s="2216">
        <f>MIN($M212,O213+O214+O215)</f>
        <v>5</v>
      </c>
      <c r="P212" s="2216">
        <f>MIN($M212,P213+P214+P215)</f>
        <v>0</v>
      </c>
      <c r="Q212" s="2012"/>
      <c r="S212" s="2106"/>
      <c r="T212" s="2106"/>
      <c r="U212" s="2106"/>
      <c r="V212" s="2012"/>
      <c r="AM212" s="2494">
        <v>212</v>
      </c>
    </row>
    <row r="213" spans="1:39" ht="15.95" customHeight="1">
      <c r="A213" s="2291"/>
      <c r="B213" s="2240" t="s">
        <v>4896</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5" customHeight="1">
      <c r="A214" s="2179"/>
      <c r="B214" s="2108" t="s">
        <v>4897</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4974</v>
      </c>
      <c r="D215" s="2164"/>
      <c r="E215" s="2164"/>
      <c r="F215" s="2164"/>
      <c r="G215" s="2164"/>
      <c r="H215" s="2164"/>
      <c r="I215" s="2164"/>
      <c r="K215" s="2111"/>
      <c r="L215" s="2211" t="s">
        <v>4893</v>
      </c>
      <c r="M215" s="2111">
        <v>3</v>
      </c>
      <c r="N215" s="2108"/>
      <c r="O215" s="2216">
        <f>MIN($M215,O216+O220+O221)</f>
        <v>3</v>
      </c>
      <c r="P215" s="2216">
        <f>MIN($M215,P216+P220+P221)</f>
        <v>0</v>
      </c>
      <c r="R215" s="2106"/>
      <c r="S215" s="2106"/>
      <c r="T215" s="2106"/>
      <c r="U215" s="2106"/>
      <c r="AM215" s="2494">
        <v>215</v>
      </c>
    </row>
    <row r="216" spans="1:39" ht="15.95" customHeight="1">
      <c r="A216" s="2111"/>
      <c r="B216" s="2152"/>
      <c r="C216" s="2163" t="s">
        <v>4975</v>
      </c>
      <c r="D216" s="2161"/>
      <c r="E216" s="2161"/>
      <c r="F216" s="2161"/>
      <c r="G216" s="2161"/>
      <c r="H216" s="2161"/>
      <c r="I216" s="2161"/>
      <c r="J216" s="2161"/>
      <c r="K216" s="2161"/>
      <c r="L216" s="2161"/>
      <c r="M216" s="2111">
        <v>3</v>
      </c>
      <c r="N216" s="2173"/>
      <c r="O216" s="2399">
        <f>IF(OR(O217="Yes", O218="Yes", O219="Yes"),$M216,0)</f>
        <v>3</v>
      </c>
      <c r="P216" s="2399">
        <f>IF(OR(P217="Yes", P218="Yes", P219="Yes"),$M216,0)</f>
        <v>0</v>
      </c>
      <c r="AM216" s="2494">
        <v>216</v>
      </c>
    </row>
    <row r="217" spans="1:39" ht="15.95" customHeight="1">
      <c r="A217" s="2179"/>
      <c r="C217" s="2142"/>
      <c r="D217" s="2164" t="s">
        <v>4898</v>
      </c>
      <c r="E217" s="2164"/>
      <c r="F217" s="2164"/>
      <c r="G217" s="2164"/>
      <c r="H217" s="2164"/>
      <c r="I217" s="2164"/>
      <c r="J217" s="2164"/>
      <c r="K217" s="2164"/>
      <c r="L217" s="2164"/>
      <c r="M217" s="2165"/>
      <c r="N217" s="2166"/>
      <c r="O217" s="2001" t="s">
        <v>2641</v>
      </c>
      <c r="P217" s="2241"/>
      <c r="Q217" s="2237"/>
      <c r="R217" s="2150"/>
      <c r="AM217" s="2494">
        <v>217</v>
      </c>
    </row>
    <row r="218" spans="1:39" ht="15" customHeight="1">
      <c r="A218" s="2179"/>
      <c r="C218" s="2142"/>
      <c r="D218" s="2164" t="s">
        <v>4899</v>
      </c>
      <c r="E218" s="2164"/>
      <c r="F218" s="2164"/>
      <c r="G218" s="2164"/>
      <c r="H218" s="2164"/>
      <c r="I218" s="2164"/>
      <c r="J218" s="2164"/>
      <c r="K218" s="2164"/>
      <c r="L218" s="2164"/>
      <c r="M218" s="2165"/>
      <c r="N218" s="2166"/>
      <c r="O218" s="2014" t="s">
        <v>2641</v>
      </c>
      <c r="P218" s="2243"/>
      <c r="Q218" s="2237" t="str">
        <f>IF(OR($O218=$M218,$O218=0,$O218=""),"","*CHECK!*")</f>
        <v>*CHECK!*</v>
      </c>
      <c r="R218" s="2150"/>
      <c r="AM218" s="2494">
        <v>218</v>
      </c>
    </row>
    <row r="219" spans="1:39">
      <c r="A219" s="2179"/>
      <c r="B219" s="2152"/>
      <c r="C219" s="2142"/>
      <c r="D219" s="2164" t="s">
        <v>4900</v>
      </c>
      <c r="E219" s="2164"/>
      <c r="F219" s="2164"/>
      <c r="G219" s="2164"/>
      <c r="H219" s="2164"/>
      <c r="I219" s="2164"/>
      <c r="J219" s="2164"/>
      <c r="K219" s="2164"/>
      <c r="L219" s="2164"/>
      <c r="M219" s="2165"/>
      <c r="N219" s="2166"/>
      <c r="O219" s="2042" t="s">
        <v>2641</v>
      </c>
      <c r="P219" s="2283"/>
      <c r="Q219" s="2237" t="str">
        <f>IF(OR($O219=$M219,$O219=0,$O219=""),"","*CHECK!*")</f>
        <v>*CHECK!*</v>
      </c>
      <c r="R219" s="2150"/>
      <c r="AM219" s="2494">
        <v>219</v>
      </c>
    </row>
    <row r="220" spans="1:39" ht="15.95" customHeight="1">
      <c r="A220" s="2111"/>
      <c r="C220" s="2163" t="s">
        <v>4902</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5" customHeight="1">
      <c r="A221" s="2111"/>
      <c r="C221" s="2163" t="s">
        <v>5012</v>
      </c>
      <c r="E221" s="2161"/>
      <c r="F221" s="2161"/>
      <c r="G221" s="2161"/>
      <c r="H221" s="2161"/>
      <c r="I221" s="2161"/>
      <c r="J221" s="2161"/>
      <c r="K221" s="2161"/>
      <c r="L221" s="2146" t="str">
        <f t="shared" si="7"/>
        <v/>
      </c>
      <c r="M221" s="2222">
        <v>2</v>
      </c>
      <c r="N221" s="2173"/>
      <c r="O221" s="2002">
        <v>2</v>
      </c>
      <c r="P221" s="2239"/>
      <c r="AM221" s="2495">
        <v>221</v>
      </c>
    </row>
    <row r="222" spans="1:39" ht="15.95" customHeight="1">
      <c r="A222" s="2112" t="s">
        <v>1838</v>
      </c>
      <c r="B222" s="2120" t="s">
        <v>3306</v>
      </c>
      <c r="C222" s="2161"/>
      <c r="D222" s="2161"/>
      <c r="E222" s="2161"/>
      <c r="F222" s="2161"/>
      <c r="G222" s="2161"/>
      <c r="H222" s="2161"/>
      <c r="I222" s="2161"/>
      <c r="J222" s="2161"/>
      <c r="K222" s="2161"/>
      <c r="L222" s="2211" t="s">
        <v>4893</v>
      </c>
      <c r="M222" s="2112">
        <v>3</v>
      </c>
      <c r="N222" s="2173"/>
      <c r="O222" s="2157">
        <f>IF(O223="yes",MIN($M222,O224+O228),0)</f>
        <v>3</v>
      </c>
      <c r="P222" s="2157">
        <f>IF(P223="yes",MIN($M222,P224+P228),0)</f>
        <v>0</v>
      </c>
      <c r="Q222" s="2144"/>
      <c r="R222" s="2150"/>
      <c r="AM222" s="2495">
        <v>222</v>
      </c>
    </row>
    <row r="223" spans="1:39" ht="15.95" customHeight="1">
      <c r="A223" s="2112"/>
      <c r="B223" s="2109" t="s">
        <v>4976</v>
      </c>
      <c r="C223" s="2161"/>
      <c r="D223" s="2161"/>
      <c r="E223" s="2161"/>
      <c r="F223" s="2161"/>
      <c r="G223" s="2161"/>
      <c r="H223" s="2161"/>
      <c r="I223" s="2161"/>
      <c r="J223" s="2161"/>
      <c r="K223" s="2161"/>
      <c r="L223" s="2211"/>
      <c r="M223" s="2112"/>
      <c r="N223" s="2173"/>
      <c r="O223" s="2042" t="s">
        <v>2641</v>
      </c>
      <c r="P223" s="2283"/>
      <c r="Q223" s="2144"/>
      <c r="R223" s="2150"/>
      <c r="AM223" s="2495">
        <v>223</v>
      </c>
    </row>
    <row r="224" spans="1:39" ht="15.95" customHeight="1">
      <c r="A224" s="2132"/>
      <c r="B224" s="2292" t="s">
        <v>1839</v>
      </c>
      <c r="C224" s="2163" t="s">
        <v>4903</v>
      </c>
      <c r="D224" s="2161"/>
      <c r="E224" s="2161"/>
      <c r="F224" s="2161"/>
      <c r="G224" s="2161"/>
      <c r="H224" s="2161"/>
      <c r="L224" s="2211" t="s">
        <v>4893</v>
      </c>
      <c r="M224" s="2111">
        <v>3</v>
      </c>
      <c r="N224" s="2173"/>
      <c r="O224" s="2400">
        <f>MIN($M224,O225+O226+O227)</f>
        <v>3</v>
      </c>
      <c r="P224" s="2400">
        <f>MIN($M224,P225+P226+P227)</f>
        <v>0</v>
      </c>
      <c r="Q224" s="2144"/>
      <c r="R224" s="2150"/>
      <c r="AM224" s="2495">
        <v>224</v>
      </c>
    </row>
    <row r="225" spans="1:39" ht="15.95" customHeight="1">
      <c r="B225" s="2152" t="s">
        <v>1958</v>
      </c>
      <c r="C225" s="2108" t="s">
        <v>4977</v>
      </c>
      <c r="L225" s="2146" t="str">
        <f>IF(OR($O225=$M225,$O225=0,$O225=""),"","* * Check Score! * *")</f>
        <v/>
      </c>
      <c r="M225" s="2129">
        <v>1</v>
      </c>
      <c r="O225" s="2013">
        <v>1</v>
      </c>
      <c r="P225" s="2238"/>
      <c r="AM225" s="2494">
        <v>225</v>
      </c>
    </row>
    <row r="226" spans="1:39" ht="15.95" customHeight="1">
      <c r="B226" s="2152" t="s">
        <v>1959</v>
      </c>
      <c r="C226" s="2108" t="s">
        <v>4904</v>
      </c>
      <c r="L226" s="2146" t="str">
        <f t="shared" ref="L226" si="8">IF(OR($O226=$M226,$O226=0,$O226=""),"","* * Check Score! * *")</f>
        <v/>
      </c>
      <c r="M226" s="2129">
        <v>1</v>
      </c>
      <c r="O226" s="2001">
        <v>1</v>
      </c>
      <c r="P226" s="2241"/>
      <c r="AM226" s="2495">
        <v>226</v>
      </c>
    </row>
    <row r="227" spans="1:39" ht="15.95" customHeight="1">
      <c r="B227" s="2152" t="s">
        <v>1608</v>
      </c>
      <c r="C227" s="2108" t="s">
        <v>4978</v>
      </c>
      <c r="L227" s="2146"/>
      <c r="M227" s="2129">
        <v>1</v>
      </c>
      <c r="O227" s="2002">
        <v>1</v>
      </c>
      <c r="P227" s="2239"/>
      <c r="AM227" s="2494">
        <v>227</v>
      </c>
    </row>
    <row r="228" spans="1:39" ht="15.95" customHeight="1">
      <c r="A228" s="2132"/>
      <c r="B228" s="2151" t="s">
        <v>1841</v>
      </c>
      <c r="C228" s="2109" t="s">
        <v>4905</v>
      </c>
      <c r="D228" s="2211"/>
      <c r="E228" s="2161"/>
      <c r="F228" s="2161"/>
      <c r="G228" s="2161"/>
      <c r="H228" s="2161"/>
      <c r="M228" s="2111">
        <v>2</v>
      </c>
      <c r="N228" s="2293" t="str">
        <f>IF(OR(O$265&gt;0,O$238&gt;0),"Applicant is ineligible for points in this section!  Points claimed in Stable Communities or Community Designations.","")</f>
        <v/>
      </c>
      <c r="O228" s="2002">
        <v>2</v>
      </c>
      <c r="P228" s="2239"/>
      <c r="Q228" s="2144"/>
      <c r="R228" s="2106"/>
      <c r="S228" s="2106"/>
      <c r="T228" s="2106"/>
      <c r="U228" s="2106"/>
      <c r="AM228" s="2494">
        <v>228</v>
      </c>
    </row>
    <row r="229" spans="1:39" ht="15.95" customHeight="1">
      <c r="A229" s="2112" t="s">
        <v>697</v>
      </c>
      <c r="B229" s="2120" t="s">
        <v>4852</v>
      </c>
      <c r="D229" s="2109"/>
      <c r="F229" s="2294"/>
      <c r="K229" s="2295"/>
      <c r="L229" s="2211" t="s">
        <v>4893</v>
      </c>
      <c r="M229" s="2112">
        <v>3</v>
      </c>
      <c r="N229" s="2147"/>
      <c r="O229" s="2296">
        <f>MIN($M229,O230+O231)</f>
        <v>3</v>
      </c>
      <c r="P229" s="2296">
        <f>MIN($M229,P230+P231)</f>
        <v>0</v>
      </c>
      <c r="Q229" s="2149"/>
      <c r="R229" s="2150"/>
      <c r="AM229" s="2494">
        <v>229</v>
      </c>
    </row>
    <row r="230" spans="1:39" ht="15.95" customHeight="1">
      <c r="A230" s="2109"/>
      <c r="B230" s="2292" t="s">
        <v>1839</v>
      </c>
      <c r="C230" s="2163" t="s">
        <v>3697</v>
      </c>
      <c r="D230" s="2161"/>
      <c r="E230" s="2161"/>
      <c r="F230" s="2161"/>
      <c r="G230" s="2161"/>
      <c r="H230" s="2161"/>
      <c r="I230" s="2161"/>
      <c r="J230" s="2161"/>
      <c r="K230" s="2161"/>
      <c r="L230" s="2211" t="s">
        <v>4893</v>
      </c>
      <c r="M230" s="2173">
        <v>2</v>
      </c>
      <c r="N230" s="2173"/>
      <c r="O230" s="2002">
        <v>2</v>
      </c>
      <c r="P230" s="2239"/>
      <c r="AM230" s="2494">
        <v>230</v>
      </c>
    </row>
    <row r="231" spans="1:39" ht="15.95" customHeight="1">
      <c r="A231" s="2109"/>
      <c r="B231" s="2151" t="s">
        <v>1841</v>
      </c>
      <c r="C231" s="2163" t="s">
        <v>4906</v>
      </c>
      <c r="D231" s="2161"/>
      <c r="E231" s="2161"/>
      <c r="F231" s="2161"/>
      <c r="G231" s="2161"/>
      <c r="H231" s="2161"/>
      <c r="I231" s="2161"/>
      <c r="J231" s="2161"/>
      <c r="K231" s="2161"/>
      <c r="L231" s="2161"/>
      <c r="M231" s="2173">
        <v>1</v>
      </c>
      <c r="N231" s="2173"/>
      <c r="O231" s="2002">
        <v>1</v>
      </c>
      <c r="P231" s="2239"/>
      <c r="AM231" s="2494">
        <v>231</v>
      </c>
    </row>
    <row r="232" spans="1:39" s="2109" customFormat="1" ht="15.95" customHeight="1">
      <c r="B232" s="2131" t="s">
        <v>4844</v>
      </c>
      <c r="L232" s="2108"/>
      <c r="M232" s="2111"/>
      <c r="N232" s="2129"/>
      <c r="O232" s="2122"/>
      <c r="P232" s="2121"/>
      <c r="AM232" s="2494">
        <v>232</v>
      </c>
    </row>
    <row r="233" spans="1:39" ht="409.5" customHeight="1">
      <c r="A233" s="3830" t="s">
        <v>5206</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4996</v>
      </c>
      <c r="S238" s="2106"/>
      <c r="T238" s="2106"/>
      <c r="U238" s="2106"/>
      <c r="V238" s="2445" t="str">
        <f>$C$16</f>
        <v>Revitalization/Redevelopment Plans</v>
      </c>
      <c r="W238" s="2108"/>
      <c r="X238" s="2108"/>
      <c r="AM238" s="2495">
        <v>238</v>
      </c>
    </row>
    <row r="239" spans="1:39" s="2109" customFormat="1" ht="15.95" customHeight="1">
      <c r="A239" s="2132"/>
      <c r="B239" s="2133"/>
      <c r="D239" s="2133"/>
      <c r="E239" s="2133"/>
      <c r="F239" s="2141" t="s">
        <v>5037</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4907</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4912</v>
      </c>
      <c r="D241" s="2409"/>
      <c r="E241" s="2409"/>
      <c r="G241" s="3923" t="s">
        <v>4910</v>
      </c>
      <c r="H241" s="3924"/>
      <c r="I241" s="2411" t="s">
        <v>4914</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4913</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4720</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4908</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4941</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4942</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4979</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4980</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4981</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4911</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4982</v>
      </c>
      <c r="C253" s="2108"/>
      <c r="D253" s="2403"/>
      <c r="E253" s="3928" t="s">
        <v>4983</v>
      </c>
      <c r="F253" s="3928"/>
      <c r="G253" s="3928"/>
      <c r="H253" s="2404" t="s">
        <v>4721</v>
      </c>
      <c r="I253" s="3929" t="s">
        <v>4984</v>
      </c>
      <c r="J253" s="3929"/>
      <c r="K253" s="3929"/>
      <c r="L253" s="3929"/>
      <c r="M253" s="3929"/>
      <c r="N253" s="3929"/>
      <c r="O253" s="3929"/>
      <c r="P253" s="3929"/>
      <c r="R253" s="2150"/>
      <c r="S253" s="2106"/>
      <c r="T253" s="2106"/>
      <c r="U253" s="2106"/>
      <c r="V253" s="2108"/>
      <c r="W253" s="2108"/>
      <c r="X253" s="2108"/>
      <c r="AM253" s="2495">
        <v>253</v>
      </c>
    </row>
    <row r="254" spans="1:39" s="2109" customFormat="1" ht="15.95" customHeight="1">
      <c r="A254" s="2132"/>
      <c r="B254" s="2109" t="s">
        <v>4985</v>
      </c>
      <c r="C254" s="2108"/>
      <c r="D254" s="2403"/>
      <c r="E254" s="3930"/>
      <c r="F254" s="3931"/>
      <c r="G254" s="2447"/>
      <c r="H254" s="2405"/>
      <c r="I254" s="3930"/>
      <c r="J254" s="3931"/>
      <c r="K254" s="3932"/>
      <c r="L254" s="3933"/>
      <c r="M254" s="3930" t="s">
        <v>4986</v>
      </c>
      <c r="N254" s="3934"/>
      <c r="O254" s="3934"/>
      <c r="P254" s="3931"/>
      <c r="R254" s="2150"/>
      <c r="S254" s="2106"/>
      <c r="T254" s="2106"/>
      <c r="U254" s="2106"/>
      <c r="V254" s="2108"/>
      <c r="W254" s="2108"/>
      <c r="X254" s="2108"/>
      <c r="AM254" s="2495">
        <v>254</v>
      </c>
    </row>
    <row r="255" spans="1:39" s="2109" customFormat="1" ht="15.95" customHeight="1">
      <c r="A255" s="2132"/>
      <c r="B255" s="2109" t="s">
        <v>4987</v>
      </c>
      <c r="C255" s="2108"/>
      <c r="D255" s="2403"/>
      <c r="E255" s="3918"/>
      <c r="F255" s="3919"/>
      <c r="G255" s="2448"/>
      <c r="H255" s="2406"/>
      <c r="I255" s="3918"/>
      <c r="J255" s="3919"/>
      <c r="K255" s="3920"/>
      <c r="L255" s="3921"/>
      <c r="M255" s="3918" t="s">
        <v>4986</v>
      </c>
      <c r="N255" s="3922"/>
      <c r="O255" s="3922"/>
      <c r="P255" s="3919"/>
      <c r="R255" s="2150"/>
      <c r="S255" s="2106"/>
      <c r="T255" s="2106"/>
      <c r="U255" s="2106"/>
      <c r="V255" s="2108"/>
      <c r="W255" s="2108"/>
      <c r="X255" s="2108"/>
      <c r="AM255" s="2494">
        <v>255</v>
      </c>
    </row>
    <row r="256" spans="1:39" s="2109" customFormat="1" ht="15.95" customHeight="1">
      <c r="A256" s="2132"/>
      <c r="B256" s="2109" t="s">
        <v>4988</v>
      </c>
      <c r="C256" s="2108"/>
      <c r="D256" s="2403"/>
      <c r="E256" s="3918"/>
      <c r="F256" s="3919"/>
      <c r="G256" s="2448"/>
      <c r="H256" s="2406"/>
      <c r="I256" s="3918"/>
      <c r="J256" s="3919"/>
      <c r="K256" s="3920"/>
      <c r="L256" s="3921"/>
      <c r="M256" s="3918" t="s">
        <v>4986</v>
      </c>
      <c r="N256" s="3922"/>
      <c r="O256" s="3922"/>
      <c r="P256" s="3919"/>
      <c r="R256" s="2150"/>
      <c r="S256" s="2106"/>
      <c r="T256" s="2106"/>
      <c r="U256" s="2106"/>
      <c r="V256" s="2108"/>
      <c r="W256" s="2108"/>
      <c r="X256" s="2108"/>
      <c r="AM256" s="2495">
        <v>256</v>
      </c>
    </row>
    <row r="257" spans="1:39" s="2109" customFormat="1" ht="15.95" customHeight="1">
      <c r="A257" s="2132"/>
      <c r="B257" s="2109" t="s">
        <v>4989</v>
      </c>
      <c r="C257" s="2133"/>
      <c r="D257" s="2133"/>
      <c r="E257" s="3918"/>
      <c r="F257" s="3919"/>
      <c r="G257" s="2448"/>
      <c r="H257" s="2451"/>
      <c r="I257" s="3918"/>
      <c r="J257" s="3919"/>
      <c r="K257" s="3920"/>
      <c r="L257" s="3921"/>
      <c r="M257" s="3918" t="s">
        <v>4986</v>
      </c>
      <c r="N257" s="3922"/>
      <c r="O257" s="3922"/>
      <c r="P257" s="3919"/>
      <c r="R257" s="2150"/>
      <c r="S257" s="2106"/>
      <c r="T257" s="2106"/>
      <c r="U257" s="2106"/>
      <c r="V257" s="2108"/>
      <c r="W257" s="2108"/>
      <c r="X257" s="2108"/>
      <c r="AM257" s="2494">
        <v>257</v>
      </c>
    </row>
    <row r="258" spans="1:39" s="2109" customFormat="1" ht="15.95" customHeight="1">
      <c r="A258" s="2132"/>
      <c r="B258" s="2109" t="s">
        <v>4112</v>
      </c>
      <c r="C258" s="2133"/>
      <c r="D258" s="2133"/>
      <c r="E258" s="3937"/>
      <c r="F258" s="3938"/>
      <c r="G258" s="2449"/>
      <c r="H258" s="2452"/>
      <c r="I258" s="3937"/>
      <c r="J258" s="3938"/>
      <c r="K258" s="3939"/>
      <c r="L258" s="3940"/>
      <c r="M258" s="3937" t="s">
        <v>4986</v>
      </c>
      <c r="N258" s="3941"/>
      <c r="O258" s="3941"/>
      <c r="P258" s="3938"/>
      <c r="R258" s="2150"/>
      <c r="S258" s="2106"/>
      <c r="T258" s="2106"/>
      <c r="U258" s="2106"/>
      <c r="V258" s="2108"/>
      <c r="W258" s="2108"/>
      <c r="X258" s="2108"/>
      <c r="AM258" s="2494">
        <v>258</v>
      </c>
    </row>
    <row r="259" spans="1:39" ht="15.95" customHeight="1">
      <c r="A259" s="2109"/>
      <c r="B259" s="2131" t="s">
        <v>4844</v>
      </c>
      <c r="C259" s="2109"/>
      <c r="D259" s="2109"/>
      <c r="E259" s="2109"/>
      <c r="F259" s="2109"/>
      <c r="G259" s="2109"/>
      <c r="H259" s="2109"/>
      <c r="I259" s="2109"/>
      <c r="J259" s="2109"/>
      <c r="K259" s="2109"/>
      <c r="M259" s="2111"/>
      <c r="O259" s="2122"/>
      <c r="AM259" s="2494">
        <v>259</v>
      </c>
    </row>
    <row r="260" spans="1:39">
      <c r="A260" s="3830" t="s">
        <v>5173</v>
      </c>
      <c r="B260" s="3831"/>
      <c r="C260" s="3831"/>
      <c r="D260" s="3831"/>
      <c r="E260" s="3831"/>
      <c r="F260" s="3831"/>
      <c r="G260" s="3831"/>
      <c r="H260" s="3831"/>
      <c r="I260" s="3831"/>
      <c r="J260" s="3831"/>
      <c r="K260" s="3831"/>
      <c r="L260" s="3831"/>
      <c r="M260" s="3831"/>
      <c r="N260" s="3831"/>
      <c r="O260" s="3831"/>
      <c r="P260" s="3832"/>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4996</v>
      </c>
      <c r="S265" s="2106"/>
      <c r="T265" s="2106"/>
      <c r="U265" s="2106"/>
      <c r="V265" s="2445" t="str">
        <f>$C$16</f>
        <v>Revitalization/Redevelopment Plans</v>
      </c>
      <c r="AM265" s="2494">
        <v>265</v>
      </c>
    </row>
    <row r="266" spans="1:39" ht="15.95" customHeight="1">
      <c r="A266" s="2112" t="s">
        <v>1836</v>
      </c>
      <c r="B266" s="2184" t="s">
        <v>3177</v>
      </c>
      <c r="D266" s="2163"/>
      <c r="E266" s="2163"/>
      <c r="F266" s="2163"/>
      <c r="G266" s="2163"/>
      <c r="H266" s="2163"/>
      <c r="L266" s="2163"/>
      <c r="M266" s="3935"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3178</v>
      </c>
      <c r="D267" s="2163"/>
      <c r="L267" s="2163"/>
      <c r="M267" s="3935"/>
      <c r="N267" s="2147"/>
      <c r="O267" s="2003"/>
      <c r="P267" s="2156"/>
      <c r="Q267" s="2017"/>
      <c r="R267" s="2106"/>
      <c r="S267" s="2106"/>
      <c r="T267" s="2106"/>
      <c r="U267" s="2106"/>
      <c r="V267" s="2106"/>
      <c r="AM267" s="2494">
        <v>267</v>
      </c>
    </row>
    <row r="268" spans="1:39" ht="15.95" customHeight="1">
      <c r="A268" s="2109"/>
      <c r="B268" s="2131" t="s">
        <v>4844</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0" t="s">
        <v>5173</v>
      </c>
      <c r="B269" s="3831"/>
      <c r="C269" s="3831"/>
      <c r="D269" s="3831"/>
      <c r="E269" s="3831"/>
      <c r="F269" s="3831"/>
      <c r="G269" s="3831"/>
      <c r="H269" s="3831"/>
      <c r="I269" s="3831"/>
      <c r="J269" s="3831"/>
      <c r="K269" s="3831"/>
      <c r="L269" s="3831"/>
      <c r="M269" s="3831"/>
      <c r="N269" s="3831"/>
      <c r="O269" s="3831"/>
      <c r="P269" s="3832"/>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5" customHeight="1" thickBot="1">
      <c r="A274" s="2132" t="s">
        <v>3281</v>
      </c>
      <c r="B274" s="2133" t="s">
        <v>3907</v>
      </c>
      <c r="E274" s="2150" t="str">
        <f>IF(AND(O274&gt;0,NOT($F$12="New Affordability"),NOT($O$12="9%")), "Ineligible, not New Affordability and 9%!","")</f>
        <v/>
      </c>
      <c r="G274" s="2287" t="str">
        <f>$O$12</f>
        <v>9%</v>
      </c>
      <c r="H274" s="2210" t="str">
        <f>$J$12</f>
        <v>Rural</v>
      </c>
      <c r="L274" s="2142" t="s">
        <v>4893</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4153</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4701</v>
      </c>
      <c r="H276" s="3751" t="s">
        <v>573</v>
      </c>
      <c r="I276" s="3751"/>
      <c r="J276" s="3751"/>
      <c r="K276" s="3936" t="s">
        <v>4739</v>
      </c>
      <c r="L276" s="3936"/>
      <c r="M276" s="3936"/>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4154</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4155</v>
      </c>
      <c r="G278" s="2020"/>
      <c r="H278" s="3948"/>
      <c r="I278" s="3949"/>
      <c r="J278" s="3950"/>
      <c r="K278" s="3951"/>
      <c r="L278" s="3951"/>
      <c r="M278" s="3951"/>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4844</v>
      </c>
      <c r="C280" s="2109"/>
      <c r="D280" s="2109"/>
      <c r="E280" s="2109"/>
      <c r="F280" s="2109"/>
      <c r="G280" s="2109"/>
      <c r="H280" s="2109"/>
      <c r="I280" s="2109"/>
      <c r="J280" s="2109"/>
      <c r="K280" s="2109"/>
      <c r="M280" s="2111"/>
      <c r="O280" s="2122"/>
      <c r="AM280" s="2494">
        <v>280</v>
      </c>
    </row>
    <row r="281" spans="1:39">
      <c r="A281" s="3830" t="s">
        <v>5202</v>
      </c>
      <c r="B281" s="3831"/>
      <c r="C281" s="3831"/>
      <c r="D281" s="3831"/>
      <c r="E281" s="3831"/>
      <c r="F281" s="3831"/>
      <c r="G281" s="3831"/>
      <c r="H281" s="3831"/>
      <c r="I281" s="3831"/>
      <c r="J281" s="3831"/>
      <c r="K281" s="3831"/>
      <c r="L281" s="3831"/>
      <c r="M281" s="3831"/>
      <c r="N281" s="3831"/>
      <c r="O281" s="3831"/>
      <c r="P281" s="3832"/>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5" customHeight="1" thickBot="1">
      <c r="A286" s="2132" t="s">
        <v>3279</v>
      </c>
      <c r="B286" s="2133" t="s">
        <v>3835</v>
      </c>
      <c r="G286" s="2145"/>
      <c r="I286" s="2177" t="str">
        <f>IF($O$274&gt;0,"Points already claimed in another restricted section!","")</f>
        <v/>
      </c>
      <c r="K286" s="2315" t="str">
        <f>IF(AND(SUM(O288,O291,O294)&gt;0,NOT($F$12="New Affordability"),NOT($O$12="9%")), "Not 9% New Affordability!","")</f>
        <v/>
      </c>
      <c r="L286" s="2142" t="s">
        <v>4893</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4915</v>
      </c>
      <c r="AM287" s="2495">
        <v>287</v>
      </c>
    </row>
    <row r="288" spans="1:39" s="2109" customFormat="1" ht="15.95" customHeight="1">
      <c r="A288" s="2112" t="s">
        <v>1836</v>
      </c>
      <c r="B288" s="2120" t="s">
        <v>4916</v>
      </c>
      <c r="L288" s="2211" t="s">
        <v>4893</v>
      </c>
      <c r="M288" s="2111">
        <v>5</v>
      </c>
      <c r="N288" s="2147"/>
      <c r="O288" s="2009"/>
      <c r="P288" s="2279"/>
      <c r="Q288" s="2149" t="str">
        <f>IF(OR($O288&lt;=$M288,$O288=""),"","*CHECK!*")</f>
        <v/>
      </c>
      <c r="R288" s="2150"/>
      <c r="S288" s="2106"/>
      <c r="T288" s="2106"/>
      <c r="U288" s="2106"/>
      <c r="V288" s="2106"/>
      <c r="AM288" s="2494">
        <v>288</v>
      </c>
    </row>
    <row r="289" spans="1:39" ht="15.75" customHeight="1">
      <c r="C289" s="2108" t="s">
        <v>4990</v>
      </c>
      <c r="O289" s="2013"/>
      <c r="P289" s="2238"/>
      <c r="AM289" s="2494">
        <v>289</v>
      </c>
    </row>
    <row r="290" spans="1:39" ht="15.75" customHeight="1">
      <c r="C290" s="2108" t="s">
        <v>4991</v>
      </c>
      <c r="O290" s="2018"/>
      <c r="P290" s="2239"/>
      <c r="AM290" s="2495">
        <v>290</v>
      </c>
    </row>
    <row r="291" spans="1:39" s="2109" customFormat="1" ht="15.95" customHeight="1">
      <c r="A291" s="2112" t="s">
        <v>1838</v>
      </c>
      <c r="B291" s="2120" t="s">
        <v>4917</v>
      </c>
      <c r="L291" s="2211" t="s">
        <v>4893</v>
      </c>
      <c r="M291" s="2111">
        <v>3</v>
      </c>
      <c r="N291" s="2147"/>
      <c r="O291" s="2011"/>
      <c r="P291" s="2229"/>
      <c r="Q291" s="2149" t="str">
        <f>IF(OR($O291&lt;=$M291,$O291=""),"","*CHECK!*")</f>
        <v/>
      </c>
      <c r="R291" s="2150"/>
      <c r="AM291" s="2495">
        <v>291</v>
      </c>
    </row>
    <row r="292" spans="1:39" ht="15.75" customHeight="1">
      <c r="C292" s="2108" t="s">
        <v>4919</v>
      </c>
      <c r="O292" s="2105"/>
      <c r="P292" s="2227"/>
      <c r="AM292" s="2495">
        <v>292</v>
      </c>
    </row>
    <row r="293" spans="1:39" ht="15" customHeight="1">
      <c r="C293" s="2108" t="s">
        <v>4922</v>
      </c>
      <c r="O293" s="2018"/>
      <c r="P293" s="2241"/>
      <c r="AM293" s="2495">
        <v>293</v>
      </c>
    </row>
    <row r="294" spans="1:39" ht="15.95" customHeight="1">
      <c r="A294" s="2112" t="s">
        <v>697</v>
      </c>
      <c r="B294" s="2120" t="s">
        <v>4918</v>
      </c>
      <c r="G294" s="2141"/>
      <c r="I294" s="2145"/>
      <c r="L294" s="2211" t="s">
        <v>4893</v>
      </c>
      <c r="M294" s="2111">
        <v>3</v>
      </c>
      <c r="N294" s="2147"/>
      <c r="O294" s="2013">
        <v>3</v>
      </c>
      <c r="P294" s="2238"/>
      <c r="Q294" s="2149" t="str">
        <f>IF(OR($O294&lt;=$M294,$O294=""),"","*CHECK!*")</f>
        <v/>
      </c>
      <c r="R294" s="2150"/>
      <c r="AM294" s="2494">
        <v>294</v>
      </c>
    </row>
    <row r="295" spans="1:39" ht="15.75" customHeight="1">
      <c r="C295" s="2108" t="s">
        <v>4992</v>
      </c>
      <c r="O295" s="2099">
        <v>1.0200000000000001E-3</v>
      </c>
      <c r="P295" s="2100"/>
      <c r="AM295" s="2495">
        <v>295</v>
      </c>
    </row>
    <row r="296" spans="1:39" ht="9.75" customHeight="1">
      <c r="AM296" s="2494">
        <v>296</v>
      </c>
    </row>
    <row r="297" spans="1:39" ht="15.95" customHeight="1">
      <c r="A297" s="2109"/>
      <c r="B297" s="2131" t="s">
        <v>4844</v>
      </c>
      <c r="C297" s="2109"/>
      <c r="D297" s="2109"/>
      <c r="E297" s="2109"/>
      <c r="F297" s="2109"/>
      <c r="G297" s="2109"/>
      <c r="H297" s="2109"/>
      <c r="I297" s="2109"/>
      <c r="J297" s="2109"/>
      <c r="K297" s="2109"/>
      <c r="M297" s="2111"/>
      <c r="O297" s="2122"/>
      <c r="AM297" s="2494">
        <v>297</v>
      </c>
    </row>
    <row r="298" spans="1:39" ht="42.75" customHeight="1">
      <c r="A298" s="3830" t="s">
        <v>5193</v>
      </c>
      <c r="B298" s="3831"/>
      <c r="C298" s="3831"/>
      <c r="D298" s="3831"/>
      <c r="E298" s="3831"/>
      <c r="F298" s="3831"/>
      <c r="G298" s="3831"/>
      <c r="H298" s="3831"/>
      <c r="I298" s="3831"/>
      <c r="J298" s="3831"/>
      <c r="K298" s="3831"/>
      <c r="L298" s="3831"/>
      <c r="M298" s="3831"/>
      <c r="N298" s="3831"/>
      <c r="O298" s="3831"/>
      <c r="P298" s="3832"/>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4847</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4893</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4996</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4909</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11</v>
      </c>
      <c r="K306" s="2306">
        <f>MAX(P206,P212+P222+P229)</f>
        <v>0</v>
      </c>
      <c r="L306" s="2307"/>
      <c r="M306" s="3942" t="str">
        <f>$J$12</f>
        <v>Rural</v>
      </c>
      <c r="N306" s="3873"/>
      <c r="O306" s="3873"/>
      <c r="P306" s="3873"/>
      <c r="Q306" s="2144"/>
      <c r="R306" s="2150"/>
      <c r="S306" s="2106"/>
      <c r="T306" s="2106"/>
      <c r="U306" s="2106"/>
      <c r="V306" s="2108"/>
      <c r="W306" s="2108"/>
      <c r="X306" s="2108"/>
      <c r="AM306" s="2494">
        <v>306</v>
      </c>
    </row>
    <row r="307" spans="1:48" s="2109" customFormat="1" ht="15.95" customHeight="1">
      <c r="A307" s="2132"/>
      <c r="B307" s="2133"/>
      <c r="C307" s="2304"/>
      <c r="D307" s="2109" t="s">
        <v>3909</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4920</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4921</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4844</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0" t="s">
        <v>5203</v>
      </c>
      <c r="B312" s="3831"/>
      <c r="C312" s="3831"/>
      <c r="D312" s="3831"/>
      <c r="E312" s="3831"/>
      <c r="F312" s="3831"/>
      <c r="G312" s="3831"/>
      <c r="H312" s="3831"/>
      <c r="I312" s="3831"/>
      <c r="J312" s="3831"/>
      <c r="K312" s="3831"/>
      <c r="L312" s="3831"/>
      <c r="M312" s="3831"/>
      <c r="N312" s="3831"/>
      <c r="O312" s="3831"/>
      <c r="P312" s="3832"/>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4848</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4930</v>
      </c>
      <c r="D319" s="2133"/>
      <c r="E319" s="2133"/>
      <c r="L319" s="3943" t="s">
        <v>4932</v>
      </c>
      <c r="M319" s="3943"/>
      <c r="O319" s="3943" t="s">
        <v>4933</v>
      </c>
      <c r="P319" s="3943"/>
      <c r="Q319" s="2144"/>
      <c r="R319" s="2106"/>
      <c r="S319" s="2106"/>
      <c r="T319" s="2106"/>
      <c r="U319" s="2106"/>
      <c r="V319" s="2106"/>
      <c r="W319" s="2108"/>
      <c r="X319" s="2108"/>
      <c r="AM319" s="2495">
        <v>319</v>
      </c>
    </row>
    <row r="320" spans="1:48" s="2109" customFormat="1" ht="15.95" customHeight="1">
      <c r="A320" s="2132"/>
      <c r="C320" s="2109" t="s">
        <v>4931</v>
      </c>
      <c r="D320" s="2133"/>
      <c r="E320" s="2133"/>
      <c r="F320" s="2109" t="s">
        <v>4119</v>
      </c>
      <c r="I320" s="2109" t="s">
        <v>574</v>
      </c>
      <c r="K320" s="2111" t="s">
        <v>4741</v>
      </c>
      <c r="L320" s="3943"/>
      <c r="M320" s="3943"/>
      <c r="O320" s="3943"/>
      <c r="P320" s="3943"/>
      <c r="Q320" s="2144"/>
      <c r="R320" s="2106"/>
      <c r="S320" s="2106"/>
      <c r="T320" s="2106"/>
      <c r="U320" s="2106"/>
      <c r="V320" s="2106"/>
      <c r="W320" s="2108"/>
      <c r="X320" s="2108"/>
      <c r="AM320" s="2494">
        <v>320</v>
      </c>
      <c r="AV320" s="2304"/>
    </row>
    <row r="321" spans="1:39" s="2109" customFormat="1" ht="15.95" customHeight="1">
      <c r="A321" s="2132"/>
      <c r="B321" s="2292" t="s">
        <v>1839</v>
      </c>
      <c r="C321" s="3952" t="s">
        <v>5194</v>
      </c>
      <c r="D321" s="3952"/>
      <c r="E321" s="3952"/>
      <c r="F321" s="3952" t="s">
        <v>5205</v>
      </c>
      <c r="G321" s="3952"/>
      <c r="H321" s="3952"/>
      <c r="I321" s="3953" t="s">
        <v>814</v>
      </c>
      <c r="J321" s="3953"/>
      <c r="K321" s="2385">
        <v>31533</v>
      </c>
      <c r="L321" s="3954">
        <v>1.1000000000000001</v>
      </c>
      <c r="M321" s="3954"/>
      <c r="N321" s="2289"/>
      <c r="O321" s="3955" t="s">
        <v>5195</v>
      </c>
      <c r="P321" s="3955"/>
      <c r="Q321" s="2144"/>
      <c r="R321" s="2106"/>
      <c r="S321" s="2106"/>
      <c r="T321" s="2106"/>
      <c r="U321" s="2106"/>
      <c r="V321" s="2106"/>
      <c r="W321" s="2108"/>
      <c r="X321" s="2108"/>
      <c r="AM321" s="2495">
        <v>321</v>
      </c>
    </row>
    <row r="322" spans="1:39" s="2109" customFormat="1" ht="15.95" customHeight="1">
      <c r="A322" s="2132"/>
      <c r="B322" s="2151" t="s">
        <v>1841</v>
      </c>
      <c r="C322" s="3956"/>
      <c r="D322" s="3956"/>
      <c r="E322" s="3956"/>
      <c r="F322" s="3956"/>
      <c r="G322" s="3956"/>
      <c r="H322" s="3956"/>
      <c r="I322" s="3957"/>
      <c r="J322" s="3957"/>
      <c r="K322" s="2386"/>
      <c r="L322" s="3958"/>
      <c r="M322" s="3958"/>
      <c r="N322" s="2289"/>
      <c r="O322" s="3959"/>
      <c r="P322" s="3959"/>
      <c r="Q322" s="2144"/>
      <c r="R322" s="2106"/>
      <c r="S322" s="2106"/>
      <c r="T322" s="2106"/>
      <c r="U322" s="2106"/>
      <c r="V322" s="2106"/>
      <c r="W322" s="2108"/>
      <c r="X322" s="2108"/>
      <c r="AM322" s="2494">
        <v>322</v>
      </c>
    </row>
    <row r="323" spans="1:39" s="2109" customFormat="1" ht="15.95" customHeight="1">
      <c r="A323" s="2132"/>
      <c r="B323" s="2151" t="s">
        <v>2326</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5" customHeight="1">
      <c r="A324" s="2132"/>
      <c r="B324" s="2151" t="s">
        <v>1149</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5" customHeight="1">
      <c r="A325" s="2109"/>
      <c r="B325" s="2131" t="s">
        <v>4844</v>
      </c>
      <c r="C325" s="2109"/>
      <c r="D325" s="2109"/>
      <c r="E325" s="2109"/>
      <c r="F325" s="2109"/>
      <c r="G325" s="2109"/>
      <c r="H325" s="2109"/>
      <c r="I325" s="2109"/>
      <c r="J325" s="2109"/>
      <c r="K325" s="2109"/>
      <c r="M325" s="2111"/>
      <c r="O325" s="2122"/>
      <c r="R325" s="2106"/>
      <c r="S325" s="2106"/>
      <c r="T325" s="2106"/>
      <c r="U325" s="2106"/>
      <c r="V325" s="2106"/>
      <c r="AM325" s="2494">
        <v>325</v>
      </c>
    </row>
    <row r="326" spans="1:39" ht="132" customHeight="1">
      <c r="A326" s="3830" t="s">
        <v>5218</v>
      </c>
      <c r="B326" s="3831"/>
      <c r="C326" s="3831"/>
      <c r="D326" s="3831"/>
      <c r="E326" s="3831"/>
      <c r="F326" s="3831"/>
      <c r="G326" s="3831"/>
      <c r="H326" s="3831"/>
      <c r="I326" s="3831"/>
      <c r="J326" s="3831"/>
      <c r="K326" s="3831"/>
      <c r="L326" s="3831"/>
      <c r="M326" s="3831"/>
      <c r="N326" s="3831"/>
      <c r="O326" s="3831"/>
      <c r="P326" s="3832"/>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3905</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4923</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3688</v>
      </c>
      <c r="G333" s="3960" t="str">
        <f>'Part V-Revenues &amp; Expenses'!$O$53</f>
        <v>Income Averaging</v>
      </c>
      <c r="H333" s="3961"/>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962" t="s">
        <v>3761</v>
      </c>
      <c r="H340" s="3963"/>
      <c r="I340" s="3963"/>
      <c r="J340" s="3963"/>
      <c r="K340" s="3963"/>
      <c r="L340" s="3964"/>
      <c r="M340" s="2165"/>
      <c r="N340" s="2165"/>
      <c r="O340" s="2165"/>
      <c r="P340" s="2165"/>
      <c r="Q340" s="2109"/>
      <c r="AM340" s="2494">
        <v>340</v>
      </c>
    </row>
    <row r="341" spans="1:39" s="2164" customFormat="1" ht="15.95"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5" t="s">
        <v>3325</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5"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4844</v>
      </c>
      <c r="C344" s="2109"/>
      <c r="D344" s="2109"/>
      <c r="E344" s="2109"/>
      <c r="F344" s="2109"/>
      <c r="G344" s="2109"/>
      <c r="H344" s="2109"/>
      <c r="I344" s="2109"/>
      <c r="J344" s="2109"/>
      <c r="K344" s="2109"/>
      <c r="M344" s="2111"/>
      <c r="O344" s="2122"/>
      <c r="AM344" s="2494">
        <v>344</v>
      </c>
    </row>
    <row r="345" spans="1:39" ht="15.95" customHeight="1">
      <c r="A345" s="3830" t="s">
        <v>5173</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4479</v>
      </c>
      <c r="D351" s="2163"/>
      <c r="E351" s="2213" t="s">
        <v>4490</v>
      </c>
      <c r="F351" s="2163"/>
      <c r="G351" s="2163"/>
      <c r="H351" s="3976"/>
      <c r="I351" s="3977"/>
      <c r="J351" s="3977"/>
      <c r="K351" s="3978"/>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4844</v>
      </c>
      <c r="C353" s="2109"/>
      <c r="D353" s="2109"/>
      <c r="E353" s="2109"/>
      <c r="F353" s="2109"/>
      <c r="G353" s="2109"/>
      <c r="H353" s="2109"/>
      <c r="I353" s="2109"/>
      <c r="J353" s="2109"/>
      <c r="K353" s="2109"/>
      <c r="M353" s="2111"/>
      <c r="O353" s="2122"/>
      <c r="R353" s="2106"/>
      <c r="S353" s="2106"/>
      <c r="T353" s="2106"/>
      <c r="U353" s="2106"/>
      <c r="V353" s="2106"/>
      <c r="AM353" s="2494">
        <v>353</v>
      </c>
    </row>
    <row r="354" spans="1:39" ht="43.5" customHeight="1">
      <c r="A354" s="3830" t="s">
        <v>5174</v>
      </c>
      <c r="B354" s="3831"/>
      <c r="C354" s="3831"/>
      <c r="D354" s="3831"/>
      <c r="E354" s="3831"/>
      <c r="F354" s="3831"/>
      <c r="G354" s="3831"/>
      <c r="H354" s="3831"/>
      <c r="I354" s="3831"/>
      <c r="J354" s="3831"/>
      <c r="K354" s="3831"/>
      <c r="L354" s="3831"/>
      <c r="M354" s="3831"/>
      <c r="N354" s="3831"/>
      <c r="O354" s="3831"/>
      <c r="P354" s="3832"/>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5.95" customHeight="1">
      <c r="A360" s="2128"/>
      <c r="B360" s="2240" t="s">
        <v>3068</v>
      </c>
      <c r="D360" s="2193"/>
      <c r="E360" s="2193"/>
      <c r="G360" s="2109"/>
      <c r="I360" s="3962" t="s">
        <v>5196</v>
      </c>
      <c r="J360" s="3963"/>
      <c r="K360" s="3963"/>
      <c r="L360" s="396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4844</v>
      </c>
      <c r="L362" s="2108"/>
      <c r="M362" s="2111"/>
      <c r="N362" s="2129"/>
      <c r="O362" s="2122"/>
      <c r="P362" s="2121"/>
      <c r="AM362" s="2494">
        <v>362</v>
      </c>
    </row>
    <row r="363" spans="1:39" ht="67.5" customHeight="1">
      <c r="A363" s="3830" t="s">
        <v>5197</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4849</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4032</v>
      </c>
      <c r="D370" s="2133"/>
      <c r="E370" s="2133"/>
      <c r="L370" s="2211" t="s">
        <v>4893</v>
      </c>
      <c r="M370" s="2112">
        <v>6</v>
      </c>
      <c r="N370" s="2111"/>
      <c r="O370" s="2011"/>
      <c r="P370" s="2229"/>
      <c r="Q370" s="2144"/>
      <c r="R370" s="2150"/>
      <c r="AM370" s="2494">
        <v>370</v>
      </c>
    </row>
    <row r="371" spans="1:39" s="2109" customFormat="1" ht="15.95" customHeight="1">
      <c r="A371" s="2259" t="s">
        <v>1838</v>
      </c>
      <c r="B371" s="2120" t="s">
        <v>4735</v>
      </c>
      <c r="D371" s="2133"/>
      <c r="E371" s="2133"/>
      <c r="F371" s="2234" t="s">
        <v>4943</v>
      </c>
      <c r="K371" s="2149" t="str">
        <f>IF(OR($O371=$M371,$O371=0,$O371=""),"","*CHECK!*")</f>
        <v/>
      </c>
      <c r="L371" s="2211" t="s">
        <v>4893</v>
      </c>
      <c r="M371" s="2112">
        <v>6</v>
      </c>
      <c r="N371" s="2111"/>
      <c r="O371" s="2111"/>
      <c r="P371" s="2238"/>
      <c r="Q371" s="2144"/>
      <c r="R371" s="2150"/>
      <c r="AM371" s="2494">
        <v>371</v>
      </c>
    </row>
    <row r="372" spans="1:39" s="2109" customFormat="1" ht="15.95" customHeight="1">
      <c r="A372" s="2223"/>
      <c r="B372" s="2109" t="s">
        <v>4707</v>
      </c>
      <c r="D372" s="2133"/>
      <c r="E372" s="2133"/>
      <c r="F372" s="2125"/>
      <c r="L372" s="2149"/>
      <c r="M372" s="2112"/>
      <c r="N372" s="2111"/>
      <c r="O372" s="2015"/>
      <c r="P372" s="2156"/>
      <c r="Q372" s="2144"/>
      <c r="R372" s="2150"/>
      <c r="AM372" s="2495">
        <v>372</v>
      </c>
    </row>
    <row r="373" spans="1:39" s="2164" customFormat="1" ht="15.95" customHeight="1">
      <c r="A373" s="2112" t="s">
        <v>697</v>
      </c>
      <c r="B373" s="2274" t="s">
        <v>4034</v>
      </c>
      <c r="C373" s="2266"/>
      <c r="D373" s="2266"/>
      <c r="E373" s="2266"/>
      <c r="F373" s="2266"/>
      <c r="H373" s="2266"/>
      <c r="I373" s="2266"/>
      <c r="J373" s="2127"/>
      <c r="K373" s="2127"/>
      <c r="L373" s="2211" t="s">
        <v>4893</v>
      </c>
      <c r="M373" s="2111">
        <v>4</v>
      </c>
      <c r="N373" s="2231"/>
      <c r="O373" s="2011"/>
      <c r="P373" s="2229"/>
      <c r="Q373" s="2149"/>
      <c r="R373" s="2150"/>
      <c r="AM373" s="2495">
        <v>373</v>
      </c>
    </row>
    <row r="374" spans="1:39" ht="15.95" customHeight="1">
      <c r="A374" s="2112" t="s">
        <v>1957</v>
      </c>
      <c r="B374" s="2120" t="s">
        <v>4033</v>
      </c>
      <c r="E374" s="2193"/>
      <c r="F374" s="2109"/>
      <c r="G374" s="2109"/>
      <c r="H374" s="2109"/>
      <c r="K374" s="2111"/>
      <c r="L374" s="2211" t="s">
        <v>4893</v>
      </c>
      <c r="M374" s="2111">
        <v>4</v>
      </c>
      <c r="N374" s="2231"/>
      <c r="O374" s="2011"/>
      <c r="P374" s="2229"/>
      <c r="Q374" s="2149"/>
      <c r="R374" s="2150"/>
      <c r="AM374" s="2495">
        <v>374</v>
      </c>
    </row>
    <row r="375" spans="1:39" s="2109" customFormat="1" ht="15.95" customHeight="1">
      <c r="A375" s="2112" t="s">
        <v>1609</v>
      </c>
      <c r="B375" s="2120" t="s">
        <v>4850</v>
      </c>
      <c r="D375" s="2133"/>
      <c r="F375" s="2234" t="s">
        <v>4937</v>
      </c>
      <c r="K375" s="2258" t="str">
        <f>IF(AND($O375&gt;0,NOT($F$12="Preservation")),"Ineligible, not Preservation!","")</f>
        <v/>
      </c>
      <c r="L375" s="2211" t="s">
        <v>4893</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4993</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3908</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4994</v>
      </c>
      <c r="F380" s="2234"/>
      <c r="I380" s="2248" t="s">
        <v>4995</v>
      </c>
      <c r="J380" s="2442">
        <f>MAX(J381:J383)</f>
        <v>11</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11</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3909</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4851</v>
      </c>
      <c r="D384" s="2133"/>
      <c r="G384" s="2145"/>
      <c r="K384" s="2149" t="str">
        <f>IF(OR($O384&lt;=$M384,$O384=0,$O384=""),"","*CHECK!*")</f>
        <v/>
      </c>
      <c r="L384" s="2147" t="s">
        <v>4893</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4924</v>
      </c>
      <c r="H385" s="2324" t="s">
        <v>4936</v>
      </c>
      <c r="I385" s="2112"/>
      <c r="J385" s="2101"/>
      <c r="K385" s="2141"/>
      <c r="L385" s="2211" t="s">
        <v>4893</v>
      </c>
      <c r="M385" s="2214">
        <v>3</v>
      </c>
      <c r="N385" s="2147"/>
      <c r="O385" s="2013"/>
      <c r="P385" s="2238"/>
      <c r="Q385" s="2150"/>
      <c r="V385" s="2140"/>
      <c r="AM385" s="2495">
        <v>385</v>
      </c>
    </row>
    <row r="386" spans="1:39" s="2109" customFormat="1" ht="15" customHeight="1">
      <c r="A386" s="2112"/>
      <c r="B386" s="2154"/>
      <c r="C386" s="2164" t="s">
        <v>4925</v>
      </c>
      <c r="D386" s="2164"/>
      <c r="E386" s="2164"/>
      <c r="H386" s="2234" t="s">
        <v>4935</v>
      </c>
      <c r="I386" s="2164"/>
      <c r="J386" s="2102"/>
      <c r="K386" s="2164"/>
      <c r="L386" s="2211" t="s">
        <v>4893</v>
      </c>
      <c r="M386" s="2214">
        <v>3</v>
      </c>
      <c r="N386" s="2147"/>
      <c r="O386" s="2001"/>
      <c r="P386" s="2241"/>
      <c r="Q386" s="2147"/>
      <c r="V386" s="2140"/>
      <c r="AM386" s="2495">
        <v>386</v>
      </c>
    </row>
    <row r="387" spans="1:39" ht="15.95" customHeight="1">
      <c r="B387" s="2151"/>
      <c r="C387" s="2109" t="s">
        <v>4736</v>
      </c>
      <c r="F387" s="2234" t="s">
        <v>4926</v>
      </c>
      <c r="K387" s="2325" t="str">
        <f>IF(OR($O387="",$O$12="4%"),"","Ineligible!")</f>
        <v/>
      </c>
      <c r="L387" s="2211" t="s">
        <v>4893</v>
      </c>
      <c r="M387" s="2111">
        <v>10</v>
      </c>
      <c r="N387" s="2231"/>
      <c r="O387" s="2050"/>
      <c r="P387" s="2326"/>
      <c r="Q387" s="2149" t="str">
        <f>IF(OR($O387&lt;=$M387,$O387=0,$O387=""),"","*CHECK!*")</f>
        <v/>
      </c>
      <c r="R387" s="2150"/>
      <c r="AM387" s="2494">
        <v>387</v>
      </c>
    </row>
    <row r="388" spans="1:39" ht="15.95" customHeight="1">
      <c r="A388" s="2112"/>
      <c r="B388" s="2108" t="s">
        <v>1132</v>
      </c>
      <c r="D388" s="2108" t="s">
        <v>4740</v>
      </c>
      <c r="E388" s="2109"/>
      <c r="F388" s="2109"/>
      <c r="G388" s="2109" t="s">
        <v>4119</v>
      </c>
      <c r="H388" s="2109"/>
      <c r="I388" s="2109"/>
      <c r="J388" s="2109" t="s">
        <v>574</v>
      </c>
      <c r="L388" s="2129" t="s">
        <v>4741</v>
      </c>
      <c r="M388" s="3751" t="s">
        <v>4745</v>
      </c>
      <c r="N388" s="3751"/>
      <c r="O388" s="3751"/>
      <c r="P388" s="3751"/>
      <c r="Q388" s="2149"/>
      <c r="AM388" s="2494">
        <v>388</v>
      </c>
    </row>
    <row r="389" spans="1:39" ht="15.95" customHeight="1">
      <c r="A389" s="2152" t="s">
        <v>1958</v>
      </c>
      <c r="B389" s="3972"/>
      <c r="C389" s="3972"/>
      <c r="D389" s="3972"/>
      <c r="E389" s="3972"/>
      <c r="F389" s="3972"/>
      <c r="G389" s="3972"/>
      <c r="H389" s="3972"/>
      <c r="I389" s="3972"/>
      <c r="J389" s="3972"/>
      <c r="K389" s="3972"/>
      <c r="L389" s="2047"/>
      <c r="M389" s="3973"/>
      <c r="N389" s="3974"/>
      <c r="O389" s="3974"/>
      <c r="P389" s="3975"/>
      <c r="Q389" s="2149"/>
      <c r="AM389" s="2495">
        <v>389</v>
      </c>
    </row>
    <row r="390" spans="1:39" ht="15.95" customHeight="1">
      <c r="A390" s="2152" t="s">
        <v>1959</v>
      </c>
      <c r="B390" s="3979"/>
      <c r="C390" s="3979"/>
      <c r="D390" s="3979"/>
      <c r="E390" s="3979"/>
      <c r="F390" s="3979"/>
      <c r="G390" s="3979"/>
      <c r="H390" s="3979"/>
      <c r="I390" s="3979"/>
      <c r="J390" s="3979"/>
      <c r="K390" s="3979"/>
      <c r="L390" s="2048"/>
      <c r="M390" s="3980"/>
      <c r="N390" s="3981"/>
      <c r="O390" s="3981"/>
      <c r="P390" s="3982"/>
      <c r="Q390" s="2149"/>
      <c r="AM390" s="2494">
        <v>390</v>
      </c>
    </row>
    <row r="391" spans="1:39" ht="15.95" customHeight="1">
      <c r="A391" s="2152" t="s">
        <v>1608</v>
      </c>
      <c r="B391" s="3979"/>
      <c r="C391" s="3979"/>
      <c r="D391" s="3979"/>
      <c r="E391" s="3979"/>
      <c r="F391" s="3979"/>
      <c r="G391" s="3979"/>
      <c r="H391" s="3979"/>
      <c r="I391" s="3979"/>
      <c r="J391" s="3979"/>
      <c r="K391" s="3979"/>
      <c r="L391" s="2048"/>
      <c r="M391" s="3980"/>
      <c r="N391" s="3981"/>
      <c r="O391" s="3981"/>
      <c r="P391" s="3982"/>
      <c r="Q391" s="2149"/>
      <c r="AM391" s="2494">
        <v>391</v>
      </c>
    </row>
    <row r="392" spans="1:39" ht="15.95" customHeight="1">
      <c r="A392" s="2152" t="s">
        <v>3740</v>
      </c>
      <c r="B392" s="3979"/>
      <c r="C392" s="3979"/>
      <c r="D392" s="3979"/>
      <c r="E392" s="3979"/>
      <c r="F392" s="3979"/>
      <c r="G392" s="3979"/>
      <c r="H392" s="3979"/>
      <c r="I392" s="3979"/>
      <c r="J392" s="3979"/>
      <c r="K392" s="3979"/>
      <c r="L392" s="2048"/>
      <c r="M392" s="3980"/>
      <c r="N392" s="3981"/>
      <c r="O392" s="3981"/>
      <c r="P392" s="3982"/>
      <c r="Q392" s="2149"/>
      <c r="AM392" s="2495">
        <v>392</v>
      </c>
    </row>
    <row r="393" spans="1:39" ht="15.95" customHeight="1">
      <c r="A393" s="2152" t="s">
        <v>4688</v>
      </c>
      <c r="B393" s="3979"/>
      <c r="C393" s="3979"/>
      <c r="D393" s="3979"/>
      <c r="E393" s="3979"/>
      <c r="F393" s="3979"/>
      <c r="G393" s="3979"/>
      <c r="H393" s="3979"/>
      <c r="I393" s="3979"/>
      <c r="J393" s="3979"/>
      <c r="K393" s="3979"/>
      <c r="L393" s="2048"/>
      <c r="M393" s="3980"/>
      <c r="N393" s="3981"/>
      <c r="O393" s="3981"/>
      <c r="P393" s="3982"/>
      <c r="Q393" s="2149"/>
      <c r="AM393" s="2495">
        <v>393</v>
      </c>
    </row>
    <row r="394" spans="1:39" ht="15.95" customHeight="1">
      <c r="A394" s="2152" t="s">
        <v>4689</v>
      </c>
      <c r="B394" s="3979"/>
      <c r="C394" s="3979"/>
      <c r="D394" s="3979"/>
      <c r="E394" s="3979"/>
      <c r="F394" s="3979"/>
      <c r="G394" s="3979"/>
      <c r="H394" s="3979"/>
      <c r="I394" s="3979"/>
      <c r="J394" s="3979"/>
      <c r="K394" s="3979"/>
      <c r="L394" s="2048"/>
      <c r="M394" s="3980"/>
      <c r="N394" s="3981"/>
      <c r="O394" s="3981"/>
      <c r="P394" s="3982"/>
      <c r="Q394" s="2149"/>
      <c r="AM394" s="2495">
        <v>394</v>
      </c>
    </row>
    <row r="395" spans="1:39" ht="15.95" customHeight="1">
      <c r="A395" s="2152" t="s">
        <v>4927</v>
      </c>
      <c r="B395" s="3979"/>
      <c r="C395" s="3979"/>
      <c r="D395" s="3979"/>
      <c r="E395" s="3979"/>
      <c r="F395" s="3979"/>
      <c r="G395" s="3979"/>
      <c r="H395" s="3979"/>
      <c r="I395" s="3979"/>
      <c r="J395" s="3979"/>
      <c r="K395" s="3979"/>
      <c r="L395" s="2048"/>
      <c r="M395" s="3980"/>
      <c r="N395" s="3981"/>
      <c r="O395" s="3981"/>
      <c r="P395" s="3982"/>
      <c r="Q395" s="2149"/>
      <c r="AM395" s="2495">
        <v>395</v>
      </c>
    </row>
    <row r="396" spans="1:39" ht="15.95" customHeight="1">
      <c r="A396" s="2152" t="s">
        <v>4928</v>
      </c>
      <c r="B396" s="3979"/>
      <c r="C396" s="3979"/>
      <c r="D396" s="3979"/>
      <c r="E396" s="3979"/>
      <c r="F396" s="3979"/>
      <c r="G396" s="3979"/>
      <c r="H396" s="3979"/>
      <c r="I396" s="3979"/>
      <c r="J396" s="3979"/>
      <c r="K396" s="3979"/>
      <c r="L396" s="2048"/>
      <c r="M396" s="3980"/>
      <c r="N396" s="3981"/>
      <c r="O396" s="3981"/>
      <c r="P396" s="3982"/>
      <c r="Q396" s="2149"/>
      <c r="AM396" s="2494">
        <v>396</v>
      </c>
    </row>
    <row r="397" spans="1:39" ht="14.25">
      <c r="A397" s="2152" t="s">
        <v>4901</v>
      </c>
      <c r="B397" s="3979"/>
      <c r="C397" s="3979"/>
      <c r="D397" s="3979"/>
      <c r="E397" s="3979"/>
      <c r="F397" s="3979"/>
      <c r="G397" s="3979"/>
      <c r="H397" s="3979"/>
      <c r="I397" s="3979"/>
      <c r="J397" s="3979"/>
      <c r="K397" s="3979"/>
      <c r="L397" s="2048"/>
      <c r="M397" s="3980"/>
      <c r="N397" s="3981"/>
      <c r="O397" s="3981"/>
      <c r="P397" s="3982"/>
      <c r="AM397" s="2495">
        <v>397</v>
      </c>
    </row>
    <row r="398" spans="1:39" ht="15.95" customHeight="1">
      <c r="A398" s="2152" t="s">
        <v>4929</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5" customHeight="1">
      <c r="A399" s="2259"/>
      <c r="B399" s="2154"/>
      <c r="C399" s="2164" t="s">
        <v>4737</v>
      </c>
      <c r="D399" s="2266"/>
      <c r="E399" s="2266"/>
      <c r="F399" s="2234" t="s">
        <v>4926</v>
      </c>
      <c r="H399" s="2234" t="s">
        <v>4934</v>
      </c>
      <c r="I399" s="2266"/>
      <c r="J399" s="2101"/>
      <c r="K399" s="2325" t="str">
        <f>IF(OR($O399="",$O$12="4%"),"","Ineligible!")</f>
        <v/>
      </c>
      <c r="L399" s="2211" t="s">
        <v>4893</v>
      </c>
      <c r="M399" s="2111">
        <v>6</v>
      </c>
      <c r="N399" s="2231"/>
      <c r="O399" s="2050"/>
      <c r="P399" s="2326"/>
      <c r="Q399" s="2149" t="str">
        <f>IF(OR($O399&lt;=$M399,$O399=0,$O399=""),"","*CHECK!*")</f>
        <v/>
      </c>
      <c r="AM399" s="2494">
        <v>399</v>
      </c>
    </row>
    <row r="400" spans="1:39" ht="15.95" customHeight="1">
      <c r="A400" s="2109"/>
      <c r="B400" s="2131" t="s">
        <v>4844</v>
      </c>
      <c r="C400" s="2109"/>
      <c r="D400" s="2109"/>
      <c r="E400" s="2109"/>
      <c r="F400" s="2109"/>
      <c r="G400" s="2109"/>
      <c r="H400" s="2109"/>
      <c r="I400" s="2109"/>
      <c r="J400" s="2109"/>
      <c r="K400" s="2109"/>
      <c r="M400" s="2111"/>
      <c r="O400" s="2122"/>
      <c r="AM400" s="2494">
        <v>400</v>
      </c>
    </row>
    <row r="401" spans="1:39" ht="15.95" customHeight="1">
      <c r="A401" s="3830" t="s">
        <v>5173</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4997</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5"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84</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33.950000000000003" customHeight="1">
      <c r="A410" s="3985" t="s">
        <v>5031</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15" customHeight="1">
      <c r="A411" s="3965"/>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6" t="s">
        <v>4457</v>
      </c>
      <c r="AW418" s="3986"/>
      <c r="AX418" s="3986"/>
      <c r="AY418" s="3986"/>
      <c r="AZ418" s="3986"/>
      <c r="BA418" s="3986"/>
      <c r="BB418" s="3986"/>
      <c r="BC418" s="3986"/>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7" t="s">
        <v>4458</v>
      </c>
      <c r="AW419" s="3988"/>
      <c r="AX419" s="3988"/>
      <c r="AY419" s="3989"/>
      <c r="AZ419" s="3990" t="s">
        <v>4459</v>
      </c>
      <c r="BA419" s="3991"/>
      <c r="BB419" s="3991"/>
      <c r="BC419" s="3992"/>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9" t="s">
        <v>4764</v>
      </c>
      <c r="AH421" s="3999"/>
      <c r="AI421" s="3999" t="s">
        <v>4402</v>
      </c>
      <c r="AJ421" s="3999"/>
      <c r="AK421" s="4002" t="s">
        <v>4038</v>
      </c>
      <c r="AL421" s="4002"/>
      <c r="AM421" s="4002"/>
      <c r="AN421" s="4002"/>
      <c r="AP421" s="2134"/>
      <c r="AQ421" s="2133" t="s">
        <v>4037</v>
      </c>
      <c r="AR421" s="2134"/>
      <c r="AS421" s="2134"/>
      <c r="AT421" s="2134"/>
      <c r="AV421" s="4003" t="s">
        <v>4764</v>
      </c>
      <c r="AW421" s="4004"/>
      <c r="AX421" s="4003" t="s">
        <v>4402</v>
      </c>
      <c r="AY421" s="4004"/>
      <c r="AZ421" s="4005" t="s">
        <v>4764</v>
      </c>
      <c r="BA421" s="4005"/>
      <c r="BB421" s="3997" t="s">
        <v>4402</v>
      </c>
      <c r="BC421" s="399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4746</v>
      </c>
      <c r="AI422" s="2465">
        <v>0.09</v>
      </c>
      <c r="AJ422" s="2465" t="s">
        <v>4746</v>
      </c>
      <c r="AK422" s="3999" t="str">
        <f>'Part I-Project Identification'!F12</f>
        <v>9% Credit Competitive Round only</v>
      </c>
      <c r="AL422" s="3999"/>
      <c r="AM422" s="3999"/>
      <c r="AN422" s="3999"/>
      <c r="AQ422" s="2109"/>
      <c r="AV422" s="2328">
        <v>0.09</v>
      </c>
      <c r="AW422" s="2328" t="s">
        <v>4746</v>
      </c>
      <c r="AX422" s="2328">
        <v>0.09</v>
      </c>
      <c r="AY422" s="2328" t="s">
        <v>4746</v>
      </c>
      <c r="AZ422" s="2329">
        <v>0.09</v>
      </c>
      <c r="BA422" s="2329" t="s">
        <v>4746</v>
      </c>
      <c r="BB422" s="2329">
        <v>0.09</v>
      </c>
      <c r="BC422" s="2329" t="s">
        <v>4746</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1</v>
      </c>
      <c r="AW426" s="2348">
        <f>$O$55</f>
        <v>1</v>
      </c>
      <c r="AX426" s="2349">
        <f>$O$55</f>
        <v>1</v>
      </c>
      <c r="AY426" s="2350">
        <f>$O$55</f>
        <v>1</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4000" t="s">
        <v>4456</v>
      </c>
      <c r="AL428" s="4000"/>
      <c r="AM428" s="4000"/>
      <c r="AN428" s="4000"/>
      <c r="AP428" s="2147" t="s">
        <v>719</v>
      </c>
      <c r="AQ428" s="2338" t="s">
        <v>4445</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4833</v>
      </c>
      <c r="AC429" s="2028"/>
      <c r="AD429" s="2028"/>
      <c r="AE429" s="2028"/>
      <c r="AF429" s="2028"/>
      <c r="AG429" s="2467">
        <f>$M$117</f>
        <v>13</v>
      </c>
      <c r="AH429" s="2467">
        <f>$M$117</f>
        <v>13</v>
      </c>
      <c r="AI429" s="2467">
        <f>$M$117</f>
        <v>13</v>
      </c>
      <c r="AJ429" s="2467">
        <f>$M$117</f>
        <v>13</v>
      </c>
      <c r="AK429" s="4000"/>
      <c r="AL429" s="4000"/>
      <c r="AM429" s="4000"/>
      <c r="AN429" s="4000"/>
      <c r="AP429" s="2147" t="s">
        <v>280</v>
      </c>
      <c r="AQ429" s="2338" t="s">
        <v>4833</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1" t="s">
        <v>1405</v>
      </c>
      <c r="H431" s="4001"/>
      <c r="I431" s="4001"/>
      <c r="J431" s="2028" t="s">
        <v>2941</v>
      </c>
      <c r="K431" s="2028"/>
      <c r="L431" s="2028"/>
      <c r="M431" s="2028"/>
      <c r="N431" s="2017"/>
      <c r="O431" s="2030">
        <v>2</v>
      </c>
      <c r="P431" s="2030"/>
      <c r="Q431" s="2028"/>
      <c r="R431" s="2028"/>
      <c r="S431" s="2028"/>
      <c r="AA431" s="2466" t="s">
        <v>342</v>
      </c>
      <c r="AB431" s="1998" t="s">
        <v>4834</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4834</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4747</v>
      </c>
      <c r="AN433" s="2012" t="str">
        <f>IF('Part VII-Threshold Criteria'!$P$227="Agree","Yes","")</f>
        <v/>
      </c>
      <c r="AP433" s="2147" t="s">
        <v>344</v>
      </c>
      <c r="AQ433" s="2338" t="s">
        <v>3908</v>
      </c>
      <c r="AR433" s="2344"/>
      <c r="AS433" s="2344"/>
      <c r="AT433" s="2344"/>
      <c r="AU433" s="2344"/>
      <c r="AV433" s="2347">
        <f>$O$169</f>
        <v>2</v>
      </c>
      <c r="AW433" s="2348">
        <f>$O$169</f>
        <v>2</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
      </c>
      <c r="AP435" s="2147" t="s">
        <v>3280</v>
      </c>
      <c r="AQ435" s="2338" t="s">
        <v>3305</v>
      </c>
      <c r="AR435" s="2344"/>
      <c r="AS435" s="2344"/>
      <c r="AT435" s="2344"/>
      <c r="AU435" s="2344"/>
      <c r="AV435" s="2347">
        <f>$O$206</f>
        <v>10</v>
      </c>
      <c r="AW435" s="2348">
        <f>$O$206</f>
        <v>10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2953</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t="str">
        <f>'Part II-Sources of Funds'!$L$14</f>
        <v>No</v>
      </c>
      <c r="AP439" s="2147" t="s">
        <v>3279</v>
      </c>
      <c r="AQ439" s="2338" t="s">
        <v>3913</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3282</v>
      </c>
      <c r="AB440" s="2028" t="s">
        <v>4835</v>
      </c>
      <c r="AC440" s="2028"/>
      <c r="AD440" s="2028"/>
      <c r="AE440" s="2028"/>
      <c r="AF440" s="2028"/>
      <c r="AG440" s="2467">
        <f>$M$303</f>
        <v>10</v>
      </c>
      <c r="AH440" s="2467"/>
      <c r="AI440" s="2467"/>
      <c r="AJ440" s="2467"/>
      <c r="AK440" s="2028"/>
      <c r="AL440" s="2028"/>
      <c r="AM440" s="2017"/>
      <c r="AN440" s="2028"/>
      <c r="AP440" s="2147" t="s">
        <v>3282</v>
      </c>
      <c r="AQ440" s="2338" t="s">
        <v>4835</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3283</v>
      </c>
      <c r="AB441" s="2028" t="s">
        <v>4836</v>
      </c>
      <c r="AC441" s="2028"/>
      <c r="AD441" s="2028"/>
      <c r="AE441" s="2028"/>
      <c r="AF441" s="2028"/>
      <c r="AG441" s="2467">
        <f>$M$317</f>
        <v>1</v>
      </c>
      <c r="AH441" s="2467"/>
      <c r="AI441" s="2467"/>
      <c r="AJ441" s="2467"/>
      <c r="AK441" s="2028"/>
      <c r="AL441" s="2028"/>
      <c r="AM441" s="2017"/>
      <c r="AN441" s="2028"/>
      <c r="AP441" s="2147" t="s">
        <v>3283</v>
      </c>
      <c r="AQ441" s="2338" t="s">
        <v>4836</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2</v>
      </c>
      <c r="AW445" s="2369"/>
      <c r="AX445" s="2339">
        <f>$O$359</f>
        <v>2</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4837</v>
      </c>
      <c r="AC446" s="2028"/>
      <c r="AD446" s="2028"/>
      <c r="AE446" s="2028"/>
      <c r="AF446" s="2028"/>
      <c r="AG446" s="2467"/>
      <c r="AH446" s="2467"/>
      <c r="AI446" s="2467">
        <f>$M$368</f>
        <v>0</v>
      </c>
      <c r="AJ446" s="2467">
        <f>$M$368</f>
        <v>0</v>
      </c>
      <c r="AK446" s="2028"/>
      <c r="AL446" s="2028"/>
      <c r="AM446" s="2017"/>
      <c r="AN446" s="2028"/>
      <c r="AP446" s="2147" t="s">
        <v>3290</v>
      </c>
      <c r="AQ446" s="2338" t="s">
        <v>4837</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84</v>
      </c>
      <c r="AW449" s="2382">
        <f>IF(AND($O$12="4%",($C$12-$A$12)&gt;0),(SUM(AW423:AW447)-($C$12-$A$12)),SUM(AW423:AW447))</f>
        <v>75</v>
      </c>
      <c r="AX449" s="2382">
        <f>IF(AND($O$12="4%",($C$12-$A$12)&gt;0),(SUM(AX423:AX447)-($C$12-$A$12)),SUM(AX423:AX447))</f>
        <v>44</v>
      </c>
      <c r="AY449" s="2382">
        <f>SUM(AY423:AY447)</f>
        <v>40</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4909</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3935</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10</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3171</v>
      </c>
      <c r="K459" s="2028"/>
      <c r="L459" s="2034"/>
      <c r="M459" s="2028"/>
      <c r="N459" s="2028"/>
      <c r="O459" s="2028"/>
      <c r="P459" s="2028"/>
      <c r="Q459" s="2028"/>
      <c r="R459" s="2028"/>
      <c r="S459" s="2028"/>
      <c r="AB459" s="2304"/>
      <c r="AC459" s="2109" t="s">
        <v>4835</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3935</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ht="14.25">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ZD2duaa0MtPoaqk9vmLyFU9wY7CwqN+WZJe97psJaPHwW8lXB3xX6UIGD5eu45XPzwVI67Oro+i9NJqh4C/M9g==" saltValue="+vKObLtms9zlIbz1tFv13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Pinecrest Village, Douglas, Coffee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5051</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5052</v>
      </c>
      <c r="H5" s="1729"/>
      <c r="I5" s="1729"/>
      <c r="J5" s="1729"/>
      <c r="K5" s="1729"/>
      <c r="L5" s="2502"/>
      <c r="M5" s="1729"/>
      <c r="N5" s="1729"/>
      <c r="O5" s="1729"/>
      <c r="P5" s="2506" t="s">
        <v>3204</v>
      </c>
    </row>
    <row r="6" spans="1:16" ht="13.5" customHeight="1">
      <c r="A6" s="2504"/>
      <c r="B6" s="2504"/>
      <c r="C6" s="2504"/>
      <c r="D6" s="2504"/>
      <c r="E6" s="358"/>
      <c r="F6" s="2502"/>
      <c r="G6" s="2505" t="s">
        <v>5053</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3181</v>
      </c>
      <c r="G9" s="1729"/>
      <c r="H9" s="1729"/>
      <c r="I9" s="2509">
        <f>'Part III-A-Uses of Funds'!$J$191</f>
        <v>1215000</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5054</v>
      </c>
      <c r="J11" s="2476" t="s">
        <v>5055</v>
      </c>
      <c r="K11" s="2501"/>
      <c r="L11" s="1534"/>
      <c r="M11" s="1729"/>
      <c r="N11" s="1729"/>
      <c r="O11" s="1729" t="str">
        <f>'Part I-Project Identification'!O12</f>
        <v>2024QD-011</v>
      </c>
      <c r="P11" s="1729"/>
    </row>
    <row r="12" spans="1:16" ht="15">
      <c r="A12" s="2514"/>
      <c r="B12" s="2485"/>
      <c r="C12" s="2515"/>
      <c r="D12" s="2515"/>
      <c r="E12" s="2515"/>
      <c r="F12" s="2516" t="s">
        <v>4822</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Lowcountry Housing Communities II, LLC</v>
      </c>
      <c r="G15" s="1729"/>
      <c r="H15" s="1729"/>
      <c r="I15" s="1729" t="s">
        <v>1665</v>
      </c>
      <c r="J15" s="1729" t="str">
        <f>'Part I-Project Identification'!J16</f>
        <v>Max Elbe</v>
      </c>
      <c r="K15" s="1729"/>
      <c r="L15" s="1729"/>
      <c r="M15" s="2508" t="s">
        <v>1834</v>
      </c>
      <c r="N15" s="1729" t="str">
        <f>'Part I-Project Identification'!N16</f>
        <v>Principal</v>
      </c>
      <c r="O15" s="1729"/>
      <c r="P15" s="1729"/>
    </row>
    <row r="16" spans="1:16">
      <c r="A16" s="1729"/>
      <c r="B16" s="2508" t="s">
        <v>1597</v>
      </c>
      <c r="C16" s="1729"/>
      <c r="D16" s="1729"/>
      <c r="E16" s="1729"/>
      <c r="F16" s="2519">
        <f>'Part I-Project Identification'!F17</f>
        <v>6788956172</v>
      </c>
      <c r="G16" s="2519"/>
      <c r="H16" s="2519"/>
      <c r="I16" s="2508" t="s">
        <v>1596</v>
      </c>
      <c r="J16" s="1534">
        <f>'Part I-Project Identification'!J17</f>
        <v>0</v>
      </c>
      <c r="K16" s="1729"/>
      <c r="L16" s="1729"/>
      <c r="M16" s="2508" t="s">
        <v>1598</v>
      </c>
      <c r="N16" s="2519">
        <f>'Part I-Project Identification'!N17</f>
        <v>6788956172</v>
      </c>
      <c r="O16" s="2519"/>
      <c r="P16" s="2519"/>
    </row>
    <row r="17" spans="1:16">
      <c r="A17" s="1729"/>
      <c r="B17" s="2508" t="s">
        <v>1837</v>
      </c>
      <c r="C17" s="1729"/>
      <c r="D17" s="1729"/>
      <c r="E17" s="1729"/>
      <c r="F17" s="1729" t="str">
        <f>'Part I-Project Identification'!F18</f>
        <v>max@lchousing.com</v>
      </c>
      <c r="G17" s="1729"/>
      <c r="H17" s="1729"/>
      <c r="I17" s="1729"/>
      <c r="J17" s="1729"/>
      <c r="K17" s="1729"/>
      <c r="L17" s="1729"/>
      <c r="M17" s="2508" t="s">
        <v>1833</v>
      </c>
      <c r="N17" s="2519">
        <f>'Part I-Project Identification'!N18</f>
        <v>6788956172</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Lowcountry Housing Communities II, LLC</v>
      </c>
      <c r="G19" s="1729"/>
      <c r="H19" s="1729"/>
      <c r="I19" s="1729" t="s">
        <v>1665</v>
      </c>
      <c r="J19" s="1729" t="str">
        <f>'Part I-Project Identification'!J20</f>
        <v>Robert Haley</v>
      </c>
      <c r="K19" s="1729"/>
      <c r="L19" s="1729"/>
      <c r="M19" s="2508" t="s">
        <v>1834</v>
      </c>
      <c r="N19" s="1729" t="str">
        <f>'Part I-Project Identification'!N20</f>
        <v>Principal</v>
      </c>
      <c r="O19" s="1729"/>
      <c r="P19" s="1729"/>
    </row>
    <row r="20" spans="1:16">
      <c r="A20" s="1729"/>
      <c r="B20" s="2508" t="s">
        <v>1597</v>
      </c>
      <c r="C20" s="1729"/>
      <c r="D20" s="1729"/>
      <c r="E20" s="1729"/>
      <c r="F20" s="2519">
        <f>'Part I-Project Identification'!F21</f>
        <v>6785952542</v>
      </c>
      <c r="G20" s="2519"/>
      <c r="H20" s="2519"/>
      <c r="I20" s="2508" t="s">
        <v>1596</v>
      </c>
      <c r="J20" s="1534">
        <f>'Part I-Project Identification'!J21</f>
        <v>0</v>
      </c>
      <c r="K20" s="1729"/>
      <c r="L20" s="1729"/>
      <c r="M20" s="2508" t="s">
        <v>1598</v>
      </c>
      <c r="N20" s="2519">
        <f>'Part I-Project Identification'!N21</f>
        <v>6785952542</v>
      </c>
      <c r="O20" s="2519"/>
      <c r="P20" s="2519"/>
    </row>
    <row r="21" spans="1:16">
      <c r="A21" s="1729"/>
      <c r="B21" s="2508" t="s">
        <v>1837</v>
      </c>
      <c r="C21" s="1729"/>
      <c r="D21" s="1729"/>
      <c r="E21" s="1729"/>
      <c r="F21" s="1729" t="str">
        <f>'Part I-Project Identification'!F22</f>
        <v>rob@lchousing.com</v>
      </c>
      <c r="G21" s="1729"/>
      <c r="H21" s="1729"/>
      <c r="I21" s="1729"/>
      <c r="J21" s="1729"/>
      <c r="K21" s="1729"/>
      <c r="L21" s="1729"/>
      <c r="M21" s="2508" t="s">
        <v>1833</v>
      </c>
      <c r="N21" s="2519">
        <f>'Part I-Project Identification'!N22</f>
        <v>6785952542</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Pinecrest Village</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Douglas</v>
      </c>
      <c r="G26" s="1729"/>
      <c r="H26" s="1729"/>
      <c r="I26" s="2521" t="s">
        <v>575</v>
      </c>
      <c r="J26" s="1729" t="str">
        <f>'Part I-Project Identification'!J27</f>
        <v>Coffee</v>
      </c>
      <c r="K26" s="1729"/>
      <c r="L26" s="1729"/>
      <c r="M26" s="2508" t="s">
        <v>425</v>
      </c>
      <c r="N26" s="1729"/>
      <c r="O26" s="1729"/>
      <c r="P26" s="2520" t="str">
        <f>'Part I-Project Identification'!P27</f>
        <v>No</v>
      </c>
    </row>
    <row r="27" spans="1:16" ht="13.5">
      <c r="A27" s="2502"/>
      <c r="B27" s="1729" t="s">
        <v>3781</v>
      </c>
      <c r="C27" s="2522"/>
      <c r="D27" s="1593"/>
      <c r="E27" s="1593"/>
      <c r="F27" s="1729" t="str">
        <f>'Part I-Project Identification'!F28</f>
        <v>City Limits</v>
      </c>
      <c r="G27" s="1729"/>
      <c r="H27" s="1729"/>
      <c r="I27" s="1534"/>
      <c r="J27" s="378" t="s">
        <v>4617</v>
      </c>
      <c r="K27" s="1534"/>
      <c r="L27" s="1729"/>
      <c r="M27" s="2508" t="s">
        <v>4560</v>
      </c>
      <c r="N27" s="1729"/>
      <c r="O27" s="2523">
        <f>'Part I-Project Identification'!O28</f>
        <v>8.1</v>
      </c>
      <c r="P27" s="2523"/>
    </row>
    <row r="28" spans="1:16">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Coffee Co.</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4547</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4546</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3807</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Pinecrest Village, Douglas, Coffee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t="str">
        <f>'Part II-Sources of Funds'!E6</f>
        <v>No</v>
      </c>
      <c r="F49" s="2505" t="s">
        <v>3980</v>
      </c>
      <c r="G49" s="1729"/>
      <c r="H49" s="2475"/>
      <c r="I49" s="2530">
        <f>'Part II-Sources of Funds'!I6</f>
        <v>0</v>
      </c>
      <c r="J49" s="358"/>
      <c r="K49" s="2475"/>
      <c r="L49" s="1534" t="str">
        <f>'Part II-Sources of Funds'!L6</f>
        <v>No</v>
      </c>
      <c r="M49" s="2505" t="s">
        <v>1435</v>
      </c>
      <c r="N49" s="2475"/>
      <c r="O49" s="2475"/>
      <c r="P49" s="2475"/>
      <c r="Q49" s="2528"/>
    </row>
    <row r="50" spans="1:17" ht="13.5">
      <c r="A50" s="2502"/>
      <c r="B50" s="1534" t="str">
        <f>'Part II-Sources of Funds'!B7</f>
        <v>No</v>
      </c>
      <c r="C50" s="2505" t="s">
        <v>3752</v>
      </c>
      <c r="D50" s="1729"/>
      <c r="E50" s="1534" t="str">
        <f>'Part II-Sources of Funds'!E7</f>
        <v>No</v>
      </c>
      <c r="F50" s="2505" t="s">
        <v>3981</v>
      </c>
      <c r="G50" s="2475"/>
      <c r="H50" s="2475"/>
      <c r="I50" s="2530">
        <f>'Part II-Sources of Funds'!I7</f>
        <v>0</v>
      </c>
      <c r="J50" s="358"/>
      <c r="K50" s="2475"/>
      <c r="L50" s="1534" t="str">
        <f>'Part II-Sources of Funds'!L7</f>
        <v>No</v>
      </c>
      <c r="M50" s="2505" t="s">
        <v>513</v>
      </c>
      <c r="N50" s="2475"/>
      <c r="O50" s="2475"/>
      <c r="P50" s="2528"/>
      <c r="Q50" s="2528"/>
    </row>
    <row r="51" spans="1:17" ht="13.5">
      <c r="A51" s="1729"/>
      <c r="B51" s="1534" t="str">
        <f>'Part II-Sources of Funds'!B8</f>
        <v>No</v>
      </c>
      <c r="C51" s="2505" t="s">
        <v>4554</v>
      </c>
      <c r="D51" s="2475"/>
      <c r="E51" s="2475"/>
      <c r="F51" s="2475" t="s">
        <v>4557</v>
      </c>
      <c r="G51" s="2475"/>
      <c r="H51" s="2475" t="str">
        <f>'Part II-Sources of Funds'!H8</f>
        <v>Specify Other HOME Source here</v>
      </c>
      <c r="I51" s="2475"/>
      <c r="J51" s="2475"/>
      <c r="K51" s="2475"/>
      <c r="L51" s="1534" t="str">
        <f>'Part II-Sources of Funds'!L8</f>
        <v>No</v>
      </c>
      <c r="M51" s="2505" t="s">
        <v>4559</v>
      </c>
      <c r="N51" s="2475"/>
      <c r="O51" s="2475"/>
      <c r="P51" s="2528"/>
      <c r="Q51" s="2528"/>
    </row>
    <row r="52" spans="1:17" ht="13.5">
      <c r="A52" s="2502"/>
      <c r="B52" s="1534" t="str">
        <f>'Part II-Sources of Funds'!B9</f>
        <v>No</v>
      </c>
      <c r="C52" s="2475" t="s">
        <v>3215</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3753</v>
      </c>
      <c r="N52" s="2475"/>
      <c r="O52" s="2475"/>
      <c r="P52" s="2475"/>
      <c r="Q52" s="2528"/>
    </row>
    <row r="53" spans="1:17" ht="13.5">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3107</v>
      </c>
      <c r="N53" s="2475"/>
      <c r="O53" s="2475"/>
      <c r="P53" s="2528"/>
      <c r="Q53" s="2528"/>
    </row>
    <row r="54" spans="1:17" ht="13.5">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5">
      <c r="A55" s="2502"/>
      <c r="B55" s="1534" t="str">
        <f>'Part II-Sources of Funds'!B12</f>
        <v>No</v>
      </c>
      <c r="C55" s="2505" t="s">
        <v>3108</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3134</v>
      </c>
      <c r="N55" s="2475"/>
      <c r="O55" s="2475"/>
      <c r="P55" s="2475"/>
      <c r="Q55" s="2475"/>
    </row>
    <row r="56" spans="1:17" ht="13.5">
      <c r="A56" s="2502"/>
      <c r="B56" s="1534" t="str">
        <f>'Part II-Sources of Funds'!B13</f>
        <v>No</v>
      </c>
      <c r="C56" s="2505" t="s">
        <v>4556</v>
      </c>
      <c r="D56" s="2475"/>
      <c r="E56" s="1534" t="str">
        <f>'Part II-Sources of Funds'!E13</f>
        <v>No</v>
      </c>
      <c r="F56" s="2505" t="s">
        <v>4558</v>
      </c>
      <c r="G56" s="2475"/>
      <c r="H56" s="2475" t="str">
        <f>'Part II-Sources of Funds'!H13</f>
        <v>Specify Other PBRA Source here</v>
      </c>
      <c r="I56" s="2475"/>
      <c r="J56" s="2475"/>
      <c r="K56" s="2475"/>
      <c r="L56" s="1534" t="str">
        <f>'Part II-Sources of Funds'!L13</f>
        <v>No</v>
      </c>
      <c r="M56" s="2475" t="s">
        <v>3979</v>
      </c>
      <c r="N56" s="2475"/>
      <c r="O56" s="2475"/>
      <c r="P56" s="2475"/>
      <c r="Q56" s="2475"/>
    </row>
    <row r="57" spans="1:17" ht="13.5">
      <c r="A57" s="2502"/>
      <c r="B57" s="1534" t="str">
        <f>'Part II-Sources of Funds'!B14</f>
        <v>No</v>
      </c>
      <c r="C57" s="2475" t="s">
        <v>2391</v>
      </c>
      <c r="D57" s="2475"/>
      <c r="E57" s="1534" t="str">
        <f>'Part II-Sources of Funds'!E14</f>
        <v>No</v>
      </c>
      <c r="F57" s="2505" t="s">
        <v>3214</v>
      </c>
      <c r="G57" s="2475"/>
      <c r="H57" s="2475"/>
      <c r="I57" s="2475"/>
      <c r="J57" s="2475"/>
      <c r="K57" s="2475"/>
      <c r="L57" s="1534" t="str">
        <f>'Part II-Sources of Funds'!L14</f>
        <v>No</v>
      </c>
      <c r="M57" s="2475" t="s">
        <v>4604</v>
      </c>
      <c r="N57" s="2475"/>
      <c r="O57" s="2475"/>
      <c r="P57" s="2475"/>
      <c r="Q57" s="2475"/>
    </row>
    <row r="58" spans="1:17" ht="13.5">
      <c r="A58" s="2502"/>
      <c r="B58" s="1534" t="str">
        <f>'Part II-Sources of Funds'!B15</f>
        <v>No</v>
      </c>
      <c r="C58" s="2475" t="s">
        <v>3133</v>
      </c>
      <c r="D58" s="2475"/>
      <c r="E58" s="1534" t="str">
        <f>'Part II-Sources of Funds'!E15</f>
        <v>No</v>
      </c>
      <c r="F58" s="2505" t="s">
        <v>3982</v>
      </c>
      <c r="G58" s="2475"/>
      <c r="H58" s="2475"/>
      <c r="I58" s="2475"/>
      <c r="J58" s="2475"/>
      <c r="K58" s="2475"/>
      <c r="L58" s="1534" t="str">
        <f>'Part II-Sources of Funds'!L15</f>
        <v>Yes</v>
      </c>
      <c r="M58" s="2528" t="s">
        <v>3983</v>
      </c>
      <c r="N58" s="2475"/>
      <c r="O58" s="2475"/>
      <c r="P58" s="2475"/>
      <c r="Q58" s="2475"/>
    </row>
    <row r="59" spans="1:17" ht="13.5">
      <c r="A59" s="2502"/>
      <c r="B59" s="1534" t="str">
        <f>'Part II-Sources of Funds'!B16</f>
        <v>No</v>
      </c>
      <c r="C59" s="2505" t="s">
        <v>1668</v>
      </c>
      <c r="D59" s="2475"/>
      <c r="E59" s="1534" t="str">
        <f>'Part II-Sources of Funds'!E16</f>
        <v>No</v>
      </c>
      <c r="F59" s="2505" t="s">
        <v>4396</v>
      </c>
      <c r="G59" s="2475"/>
      <c r="H59" s="2475"/>
      <c r="I59" s="2530">
        <f>'Part II-Sources of Funds'!I16</f>
        <v>0</v>
      </c>
      <c r="J59" s="358"/>
      <c r="K59" s="2475"/>
      <c r="L59" s="1534" t="str">
        <f>'Part II-Sources of Funds'!L16</f>
        <v>No</v>
      </c>
      <c r="M59" s="2528" t="s">
        <v>3978</v>
      </c>
      <c r="N59" s="2475"/>
      <c r="O59" s="2475"/>
      <c r="P59" s="2475"/>
      <c r="Q59" s="2475"/>
    </row>
    <row r="60" spans="1:17" ht="13.5">
      <c r="A60" s="2502"/>
      <c r="B60" s="2475" t="s">
        <v>3754</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10830482</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t="str">
        <f>'Part II-Sources of Funds'!H23</f>
        <v>Atlanta Neighborhood Development Partnership, Inc.</v>
      </c>
      <c r="I66" s="1729"/>
      <c r="J66" s="1729"/>
      <c r="K66" s="1729"/>
      <c r="L66" s="2531">
        <f>'Part II-Sources of Funds'!L23</f>
        <v>492288</v>
      </c>
      <c r="M66" s="2531"/>
      <c r="N66" s="2532">
        <f>'Part II-Sources of Funds'!N23</f>
        <v>4.4600000000000001E-2</v>
      </c>
      <c r="O66" s="2532"/>
      <c r="P66" s="2533">
        <f>'Part II-Sources of Funds'!P23</f>
        <v>24</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v>
      </c>
      <c r="I71" s="1729"/>
      <c r="J71" s="1729"/>
      <c r="K71" s="1729"/>
      <c r="L71" s="2531">
        <f>'Part II-Sources of Funds'!L28</f>
        <v>1943805</v>
      </c>
      <c r="M71" s="2531"/>
      <c r="N71" s="1729"/>
      <c r="O71" s="2475"/>
      <c r="P71" s="2475"/>
      <c r="Q71" s="1729"/>
    </row>
    <row r="72" spans="1:17" ht="13.5">
      <c r="A72" s="1729"/>
      <c r="B72" s="1729" t="s">
        <v>746</v>
      </c>
      <c r="C72" s="1729"/>
      <c r="D72" s="1729"/>
      <c r="E72" s="1729"/>
      <c r="F72" s="2475"/>
      <c r="G72" s="2475"/>
      <c r="H72" s="1729" t="str">
        <f>'Part II-Sources of Funds'!H29</f>
        <v>Affordable Equity Partners</v>
      </c>
      <c r="I72" s="1729"/>
      <c r="J72" s="1729"/>
      <c r="K72" s="1729"/>
      <c r="L72" s="2531">
        <f>'Part II-Sources of Funds'!L29</f>
        <v>1003489</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14270064</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14270064</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Atlanta Neighborhood Development Partnership, Inc.</v>
      </c>
      <c r="F83" s="1729"/>
      <c r="G83" s="1729"/>
      <c r="H83" s="1729"/>
      <c r="I83" s="2536">
        <f>'Part II-Sources of Funds'!I40</f>
        <v>492288</v>
      </c>
      <c r="J83" s="1729"/>
      <c r="K83" s="2537">
        <f>'Part II-Sources of Funds'!K40</f>
        <v>4.4600000000000001E-2</v>
      </c>
      <c r="L83" s="1534">
        <f>'Part II-Sources of Funds'!L40</f>
        <v>15</v>
      </c>
      <c r="M83" s="1534">
        <f>'Part II-Sources of Funds'!M40</f>
        <v>30</v>
      </c>
      <c r="N83" s="1729" t="str">
        <f>'Part II-Sources of Funds'!N40</f>
        <v>Amortizing</v>
      </c>
      <c r="O83" s="1729"/>
      <c r="P83" s="2538">
        <f>'Part II-Sources of Funds'!P40</f>
        <v>29791.972615746738</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1.0151515151515151E-2</v>
      </c>
      <c r="E88" s="1729" t="str">
        <f>'Part II-Sources of Funds'!E45</f>
        <v>Lowcountry Housing Communities II, LLC</v>
      </c>
      <c r="F88" s="1729"/>
      <c r="G88" s="1729"/>
      <c r="H88" s="1729"/>
      <c r="I88" s="2536">
        <f>'Part II-Sources of Funds'!I45</f>
        <v>13400</v>
      </c>
      <c r="J88" s="1729"/>
      <c r="K88" s="2537">
        <f>'Part II-Sources of Funds'!K45</f>
        <v>0</v>
      </c>
      <c r="L88" s="1534">
        <f>'Part II-Sources of Funds'!L45</f>
        <v>15</v>
      </c>
      <c r="M88" s="1534" t="str">
        <f>'Part II-Sources of Funds'!M45</f>
        <v>N/A</v>
      </c>
      <c r="N88" s="1729" t="str">
        <f>'Part II-Sources of Funds'!N45</f>
        <v>Cash Flow</v>
      </c>
      <c r="O88" s="1729"/>
      <c r="P88" s="2538">
        <f>'Part II-Sources of Funds'!P45</f>
        <v>13400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f>'Part II-Sources of Funds'!F47</f>
        <v>482978.10784650978</v>
      </c>
      <c r="G90" s="2475"/>
      <c r="H90" s="2544" t="s">
        <v>3315</v>
      </c>
      <c r="I90" s="2543">
        <f>'Part II-Sources of Funds'!I47</f>
        <v>13400</v>
      </c>
      <c r="J90" s="2475"/>
      <c r="K90" s="2544" t="s">
        <v>3317</v>
      </c>
      <c r="L90" s="2545">
        <f>'Part II-Sources of Funds'!L47</f>
        <v>2.7744528752550651E-2</v>
      </c>
      <c r="M90" s="2545"/>
      <c r="N90" s="2538" t="s">
        <v>3723</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Affordable Housing Partners</v>
      </c>
      <c r="F94" s="1729"/>
      <c r="G94" s="1729"/>
      <c r="H94" s="1729"/>
      <c r="I94" s="2536">
        <f>'Part II-Sources of Funds'!I51</f>
        <v>9719028</v>
      </c>
      <c r="J94" s="1729"/>
      <c r="K94" s="2475"/>
      <c r="L94" s="2549">
        <f>'Part III-A-Uses of Funds'!$J$191*10*'Part III-A-Uses of Funds'!$N$182</f>
        <v>9720000</v>
      </c>
      <c r="M94" s="2549"/>
      <c r="N94" s="2550">
        <f>I94-L94</f>
        <v>-972</v>
      </c>
      <c r="O94" s="2550"/>
      <c r="P94" s="2551">
        <f>I94/I104</f>
        <v>0.63764095439466473</v>
      </c>
      <c r="Q94" s="1729"/>
    </row>
    <row r="95" spans="1:17" ht="13.5">
      <c r="A95" s="1729"/>
      <c r="B95" s="1729" t="s">
        <v>746</v>
      </c>
      <c r="C95" s="1729"/>
      <c r="D95" s="1729"/>
      <c r="E95" s="1729" t="str">
        <f>'Part II-Sources of Funds'!E52</f>
        <v>Affordable Housing Partners</v>
      </c>
      <c r="F95" s="1729"/>
      <c r="G95" s="1729"/>
      <c r="H95" s="1729"/>
      <c r="I95" s="2536">
        <f>'Part II-Sources of Funds'!I52</f>
        <v>5017448</v>
      </c>
      <c r="J95" s="1729"/>
      <c r="K95" s="2475"/>
      <c r="L95" s="2549">
        <f>'Part III-A-Uses of Funds'!$J$191*10*'Part III-A-Uses of Funds'!$Q$182</f>
        <v>5017950</v>
      </c>
      <c r="M95" s="2549"/>
      <c r="N95" s="2550">
        <f>I95-L95</f>
        <v>-502</v>
      </c>
      <c r="O95" s="2550"/>
      <c r="P95" s="2551">
        <f>I95/I104</f>
        <v>0.32918212925671186</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0.96682308365137659</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15242164</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15242164</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3819</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The State Limited Partner will contribute capital for the State Tax Credits at $.413 per credit.
The Federal Limited Partner and State Limited Partner will contribute capital for their respective shares of the Federal Tax Credits at $.80 per credit.
Note on Construction and Permanent Debt from Atlanta Neighborhood Development Partnership, Inc. - The source of this loan is capital magnet funds.</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Pinecrest Village,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12000</v>
      </c>
      <c r="H119" s="2531"/>
      <c r="I119" s="1729"/>
      <c r="J119" s="2531">
        <f>'Part III-A-Uses of Funds'!J9</f>
        <v>12000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10000</v>
      </c>
      <c r="H120" s="2531"/>
      <c r="I120" s="1729"/>
      <c r="J120" s="2531">
        <f>'Part III-A-Uses of Funds'!J10</f>
        <v>10000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15000</v>
      </c>
      <c r="H121" s="2531"/>
      <c r="I121" s="1729"/>
      <c r="J121" s="2531">
        <f>'Part III-A-Uses of Funds'!J11</f>
        <v>15000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20000</v>
      </c>
      <c r="H123" s="2531"/>
      <c r="I123" s="1729"/>
      <c r="J123" s="2531">
        <f>'Part III-A-Uses of Funds'!J13</f>
        <v>20000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72000</v>
      </c>
      <c r="H128" s="2531"/>
      <c r="I128" s="1729"/>
      <c r="J128" s="2531">
        <f>SUM(J119:J127)</f>
        <v>72000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3135</v>
      </c>
      <c r="F130" s="2558">
        <f>IF('Part I-Project Identification'!$O$28="","",G130/'Part I-Project Identification'!$O$28)</f>
        <v>85802.469135802472</v>
      </c>
      <c r="G130" s="2531">
        <f>'Part III-A-Uses of Funds'!G20</f>
        <v>695000</v>
      </c>
      <c r="H130" s="2531"/>
      <c r="I130" s="1729"/>
      <c r="J130" s="2520"/>
      <c r="K130" s="2531"/>
      <c r="L130" s="2520"/>
      <c r="M130" s="2520"/>
      <c r="N130" s="2531"/>
      <c r="O130" s="1729"/>
      <c r="P130" s="2520"/>
      <c r="Q130" s="2531"/>
      <c r="R130" s="1729"/>
      <c r="S130" s="2531">
        <f>'Part III-A-Uses of Funds'!S20</f>
        <v>695000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695000</v>
      </c>
      <c r="H134" s="2531"/>
      <c r="I134" s="1729"/>
      <c r="J134" s="2520"/>
      <c r="K134" s="2531"/>
      <c r="L134" s="2520"/>
      <c r="M134" s="2531">
        <f>SUM(M132:M133)</f>
        <v>0</v>
      </c>
      <c r="N134" s="2531"/>
      <c r="O134" s="1729"/>
      <c r="P134" s="2520"/>
      <c r="Q134" s="2531"/>
      <c r="R134" s="1729"/>
      <c r="S134" s="2531">
        <f>SUM(S130:S133)</f>
        <v>695000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3135</v>
      </c>
      <c r="F136" s="2558">
        <f>IF('Part I-Project Identification'!$O$28="","",G136/'Part I-Project Identification'!$O$28)</f>
        <v>255555.55555555556</v>
      </c>
      <c r="G136" s="2531">
        <f>'Part III-A-Uses of Funds'!G26</f>
        <v>2070000</v>
      </c>
      <c r="H136" s="2531"/>
      <c r="I136" s="1729"/>
      <c r="J136" s="2531">
        <f>'Part III-A-Uses of Funds'!J26</f>
        <v>1966500</v>
      </c>
      <c r="K136" s="2531"/>
      <c r="L136" s="2520"/>
      <c r="M136" s="2531">
        <f>'Part III-A-Uses of Funds'!M26</f>
        <v>0</v>
      </c>
      <c r="N136" s="2531"/>
      <c r="O136" s="1729"/>
      <c r="P136" s="2531">
        <f>'Part III-A-Uses of Funds'!P26</f>
        <v>0</v>
      </c>
      <c r="Q136" s="2531"/>
      <c r="R136" s="1729"/>
      <c r="S136" s="2531">
        <f>'Part III-A-Uses of Funds'!S26</f>
        <v>103500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2070000</v>
      </c>
      <c r="H138" s="2531"/>
      <c r="I138" s="1729"/>
      <c r="J138" s="2531">
        <f>SUM(J136:J137)</f>
        <v>1966500</v>
      </c>
      <c r="K138" s="2531"/>
      <c r="L138" s="2520"/>
      <c r="M138" s="2531">
        <f>M136</f>
        <v>0</v>
      </c>
      <c r="N138" s="2531"/>
      <c r="O138" s="1729"/>
      <c r="P138" s="2531">
        <f>P136</f>
        <v>0</v>
      </c>
      <c r="Q138" s="2531"/>
      <c r="R138" s="1729"/>
      <c r="S138" s="2531">
        <f>SUM(S136:S137)</f>
        <v>103500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6976700</v>
      </c>
      <c r="H140" s="2531"/>
      <c r="I140" s="1729"/>
      <c r="J140" s="2531">
        <f>'Part III-A-Uses of Funds'!J30</f>
        <v>6976700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3989</v>
      </c>
      <c r="C142" s="1729"/>
      <c r="D142" s="1729"/>
      <c r="E142" s="1729"/>
      <c r="F142" s="1729"/>
      <c r="G142" s="2531">
        <f>'Part III-A-Uses of Funds'!G32</f>
        <v>325000</v>
      </c>
      <c r="H142" s="2531"/>
      <c r="I142" s="1729"/>
      <c r="J142" s="2531">
        <f>'Part III-A-Uses of Funds'!J32</f>
        <v>325000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7301700</v>
      </c>
      <c r="H146" s="2531"/>
      <c r="I146" s="1729"/>
      <c r="J146" s="2531">
        <f>SUM(J140:J145)</f>
        <v>7301700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562302</v>
      </c>
      <c r="F148" s="2564">
        <f>IF(($G$28+$G$36)=0,0,G148/($G$28+$G$36))</f>
        <v>0</v>
      </c>
      <c r="G148" s="2531">
        <f>'Part III-A-Uses of Funds'!G38</f>
        <v>562302</v>
      </c>
      <c r="H148" s="2531"/>
      <c r="I148" s="377"/>
      <c r="J148" s="2531">
        <f>'Part III-A-Uses of Funds'!J38</f>
        <v>562302</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2468</v>
      </c>
      <c r="C149" s="1729"/>
      <c r="D149" s="2564">
        <f>'DCA Underwriting Assumptions'!$R$53</f>
        <v>0.02</v>
      </c>
      <c r="E149" s="2565">
        <f>ROUNDDOWN(D149*(G138+G146),0)</f>
        <v>187434</v>
      </c>
      <c r="F149" s="2564">
        <f>IF(($G$28+$G$36)=0,0,G149/($G$28+$G$36))</f>
        <v>0</v>
      </c>
      <c r="G149" s="2531">
        <f>'Part III-A-Uses of Funds'!G39</f>
        <v>187434</v>
      </c>
      <c r="H149" s="2531"/>
      <c r="I149" s="377"/>
      <c r="J149" s="2531">
        <f>'Part III-A-Uses of Funds'!J39</f>
        <v>187434</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2469</v>
      </c>
      <c r="C150" s="1729"/>
      <c r="D150" s="2564">
        <f>'DCA Underwriting Assumptions'!$R$54</f>
        <v>0.06</v>
      </c>
      <c r="E150" s="2565">
        <f>ROUNDDOWN(D150*(G138+G146),0)</f>
        <v>562302</v>
      </c>
      <c r="F150" s="2564">
        <f>IF(($G$28+$G$36)=0,0,G150/($G$28+$G$36))</f>
        <v>0</v>
      </c>
      <c r="G150" s="2531">
        <f>'Part III-A-Uses of Funds'!G40</f>
        <v>562302</v>
      </c>
      <c r="H150" s="2531"/>
      <c r="I150" s="377"/>
      <c r="J150" s="2531">
        <f>'Part III-A-Uses of Funds'!J40</f>
        <v>562302</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3140</v>
      </c>
      <c r="C151" s="1729"/>
      <c r="D151" s="2562">
        <f>SUM(D148:D150)</f>
        <v>0.14000000000000001</v>
      </c>
      <c r="E151" s="2566">
        <f>SUM(E148:E150)</f>
        <v>1312038</v>
      </c>
      <c r="F151" s="2555" t="s">
        <v>184</v>
      </c>
      <c r="G151" s="2531">
        <f>SUM(G148:G150)</f>
        <v>1312038</v>
      </c>
      <c r="H151" s="2531"/>
      <c r="I151" s="1729"/>
      <c r="J151" s="2531">
        <f>SUM(J148:J150)</f>
        <v>1312038</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4386</v>
      </c>
      <c r="D153" s="1729"/>
      <c r="E153" s="2502"/>
      <c r="F153" s="2502"/>
      <c r="G153" s="2568">
        <f>G138+G146+G151</f>
        <v>10683738</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5056</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5057</v>
      </c>
      <c r="C158" s="2570"/>
      <c r="D158" s="1729"/>
      <c r="E158" s="2501" t="s">
        <v>2471</v>
      </c>
      <c r="F158" s="2571">
        <f>C159/'Part V-Revenues &amp; Expenses'!$P$65</f>
        <v>222577.875</v>
      </c>
      <c r="G158" s="2572" t="s">
        <v>5058</v>
      </c>
      <c r="H158" s="1729"/>
      <c r="I158" s="1729"/>
      <c r="J158" s="2573">
        <f>C159/'Part V-Revenues &amp; Expenses'!$P$67</f>
        <v>222577.875</v>
      </c>
      <c r="K158" s="2573"/>
      <c r="L158" s="1729"/>
      <c r="M158" s="2574" t="s">
        <v>4372</v>
      </c>
      <c r="N158" s="2574"/>
      <c r="O158" s="1729"/>
      <c r="P158" s="2573">
        <f>C159/'Part V-Revenues &amp; Expenses'!$K$179</f>
        <v>218.49475427940365</v>
      </c>
      <c r="Q158" s="2573"/>
      <c r="R158" s="1729"/>
      <c r="S158" s="2575" t="s">
        <v>4374</v>
      </c>
      <c r="T158" s="2575"/>
    </row>
    <row r="159" spans="1:20" ht="13.5">
      <c r="A159" s="1729"/>
      <c r="B159" s="2576" t="s">
        <v>4385</v>
      </c>
      <c r="C159" s="2577">
        <f>G138+G146+G151+G156</f>
        <v>10683738</v>
      </c>
      <c r="D159" s="1729"/>
      <c r="E159" s="2501"/>
      <c r="F159" s="2571">
        <f>C159/'Part V-Revenues &amp; Expenses'!$P$170</f>
        <v>226.94659699209788</v>
      </c>
      <c r="G159" s="2575" t="s">
        <v>5059</v>
      </c>
      <c r="H159" s="1729"/>
      <c r="I159" s="1729"/>
      <c r="J159" s="2573">
        <f>C159/'Part V-Revenues &amp; Expenses'!$P$172</f>
        <v>226.94659699209788</v>
      </c>
      <c r="K159" s="2573"/>
      <c r="L159" s="1729"/>
      <c r="M159" s="2575" t="s">
        <v>4373</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5060</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534186.9</v>
      </c>
      <c r="F165" s="2539">
        <f>G165/C159</f>
        <v>4.9999915759821142E-2</v>
      </c>
      <c r="G165" s="2531">
        <f>'Part III-A-Uses of Funds'!G55</f>
        <v>534186</v>
      </c>
      <c r="H165" s="2531"/>
      <c r="I165" s="1729"/>
      <c r="J165" s="2531">
        <f>'Part III-A-Uses of Funds'!J55</f>
        <v>534186</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4194</v>
      </c>
      <c r="C167" s="2570"/>
      <c r="D167" s="1729"/>
      <c r="E167" s="2501" t="s">
        <v>4195</v>
      </c>
      <c r="F167" s="2571">
        <f>B168/'Part V-Revenues &amp; Expenses'!$P$65</f>
        <v>233706.75</v>
      </c>
      <c r="G167" s="2572" t="s">
        <v>5058</v>
      </c>
      <c r="H167" s="1729"/>
      <c r="I167" s="1729"/>
      <c r="J167" s="2573">
        <f>B168/'Part V-Revenues &amp; Expenses'!$P$67</f>
        <v>233706.75</v>
      </c>
      <c r="K167" s="2573"/>
      <c r="L167" s="1729"/>
      <c r="M167" s="2574" t="s">
        <v>4372</v>
      </c>
      <c r="N167" s="2574"/>
      <c r="O167" s="1729"/>
      <c r="P167" s="2573">
        <f>B168/'Part V-Revenues &amp; Expenses'!$K$179</f>
        <v>229.41947358733665</v>
      </c>
      <c r="Q167" s="2573"/>
      <c r="R167" s="1729"/>
      <c r="S167" s="2575" t="s">
        <v>4374</v>
      </c>
      <c r="T167" s="2575"/>
    </row>
    <row r="168" spans="1:20">
      <c r="A168" s="1729"/>
      <c r="B168" s="2577">
        <f>C159+G165</f>
        <v>11217924</v>
      </c>
      <c r="C168" s="2577"/>
      <c r="D168" s="1729"/>
      <c r="E168" s="2501"/>
      <c r="F168" s="2571">
        <f>B168/'Part V-Revenues &amp; Expenses'!$P$170</f>
        <v>238.29390772368086</v>
      </c>
      <c r="G168" s="2575" t="s">
        <v>5059</v>
      </c>
      <c r="H168" s="1729"/>
      <c r="I168" s="1729"/>
      <c r="J168" s="2573">
        <f>B168/'Part V-Revenues &amp; Expenses'!$P$172</f>
        <v>238.29390772368086</v>
      </c>
      <c r="K168" s="2573"/>
      <c r="L168" s="1729"/>
      <c r="M168" s="2575" t="s">
        <v>4373</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109000</v>
      </c>
      <c r="H173" s="2531"/>
      <c r="I173" s="1729"/>
      <c r="J173" s="2531">
        <f>'Part III-A-Uses of Funds'!J63</f>
        <v>54500</v>
      </c>
      <c r="K173" s="2531"/>
      <c r="L173" s="2520"/>
      <c r="M173" s="2531">
        <f>'Part III-A-Uses of Funds'!M63</f>
        <v>0</v>
      </c>
      <c r="N173" s="2531"/>
      <c r="O173" s="1729"/>
      <c r="P173" s="2531">
        <f>'Part III-A-Uses of Funds'!P63</f>
        <v>0</v>
      </c>
      <c r="Q173" s="2531"/>
      <c r="R173" s="1729"/>
      <c r="S173" s="2531">
        <f>'Part III-A-Uses of Funds'!S63</f>
        <v>54500</v>
      </c>
      <c r="T173" s="2531"/>
    </row>
    <row r="174" spans="1:20">
      <c r="A174" s="1729"/>
      <c r="B174" s="1729" t="s">
        <v>2161</v>
      </c>
      <c r="C174" s="1729"/>
      <c r="D174" s="1729"/>
      <c r="E174" s="1729"/>
      <c r="F174" s="1729"/>
      <c r="G174" s="2531">
        <f>'Part III-A-Uses of Funds'!G64</f>
        <v>635402</v>
      </c>
      <c r="H174" s="2531"/>
      <c r="I174" s="1729"/>
      <c r="J174" s="2531">
        <f>'Part III-A-Uses of Funds'!J64</f>
        <v>635402</v>
      </c>
      <c r="K174" s="2531"/>
      <c r="L174" s="2520"/>
      <c r="M174" s="2531">
        <f>'Part III-A-Uses of Funds'!M64</f>
        <v>0</v>
      </c>
      <c r="N174" s="2531"/>
      <c r="O174" s="1729"/>
      <c r="P174" s="2531">
        <f>'Part III-A-Uses of Funds'!P64</f>
        <v>0</v>
      </c>
      <c r="Q174" s="2531"/>
      <c r="R174" s="1729"/>
      <c r="S174" s="2531">
        <f>'Part III-A-Uses of Funds'!S64</f>
        <v>0</v>
      </c>
      <c r="T174" s="2531"/>
    </row>
    <row r="175" spans="1:20">
      <c r="A175" s="1729"/>
      <c r="B175" s="1729" t="s">
        <v>2162</v>
      </c>
      <c r="C175" s="1729"/>
      <c r="D175" s="1729"/>
      <c r="E175" s="1729"/>
      <c r="F175" s="1729"/>
      <c r="G175" s="2531">
        <f>'Part III-A-Uses of Funds'!G65</f>
        <v>60000</v>
      </c>
      <c r="H175" s="2531"/>
      <c r="I175" s="1729"/>
      <c r="J175" s="2531">
        <f>'Part III-A-Uses of Funds'!J65</f>
        <v>60000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15000</v>
      </c>
      <c r="H176" s="2531"/>
      <c r="I176" s="1729"/>
      <c r="J176" s="2531">
        <f>'Part III-A-Uses of Funds'!J66</f>
        <v>15000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8500</v>
      </c>
      <c r="H177" s="2531"/>
      <c r="I177" s="1729"/>
      <c r="J177" s="2531">
        <f>'Part III-A-Uses of Funds'!J67</f>
        <v>8500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13000</v>
      </c>
      <c r="H178" s="2531"/>
      <c r="I178" s="1729"/>
      <c r="J178" s="2531">
        <f>'Part III-A-Uses of Funds'!J68</f>
        <v>13000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35000</v>
      </c>
      <c r="H179" s="2531"/>
      <c r="I179" s="1729"/>
      <c r="J179" s="2531">
        <f>'Part III-A-Uses of Funds'!J69</f>
        <v>35000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875902</v>
      </c>
      <c r="H183" s="2531"/>
      <c r="I183" s="1729"/>
      <c r="J183" s="2531">
        <f>SUM(J171:J182)</f>
        <v>821402</v>
      </c>
      <c r="K183" s="2531"/>
      <c r="L183" s="2520"/>
      <c r="M183" s="2531">
        <f>SUM(M171:M182)</f>
        <v>0</v>
      </c>
      <c r="N183" s="2531"/>
      <c r="O183" s="1729"/>
      <c r="P183" s="2531">
        <f>SUM(P171:P182)</f>
        <v>0</v>
      </c>
      <c r="Q183" s="2531"/>
      <c r="R183" s="1729"/>
      <c r="S183" s="2531">
        <f>SUM(S171:S182)</f>
        <v>54500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153600</v>
      </c>
      <c r="H185" s="2531"/>
      <c r="I185" s="1729"/>
      <c r="J185" s="2531">
        <f>'Part III-A-Uses of Funds'!J75</f>
        <v>153600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38400</v>
      </c>
      <c r="H186" s="2531"/>
      <c r="I186" s="1729"/>
      <c r="J186" s="2531">
        <f>'Part III-A-Uses of Funds'!J76</f>
        <v>38400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30000</v>
      </c>
      <c r="H187" s="2531"/>
      <c r="I187" s="1729"/>
      <c r="J187" s="2531">
        <f>'Part III-A-Uses of Funds'!J77</f>
        <v>30000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6000</v>
      </c>
      <c r="H188" s="2531"/>
      <c r="I188" s="1729"/>
      <c r="J188" s="2531">
        <f>'Part III-A-Uses of Funds'!J78</f>
        <v>6000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17500</v>
      </c>
      <c r="H189" s="2531"/>
      <c r="I189" s="1729"/>
      <c r="J189" s="2531">
        <f>'Part III-A-Uses of Funds'!J79</f>
        <v>17500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45000</v>
      </c>
      <c r="H190" s="2531"/>
      <c r="I190" s="1729"/>
      <c r="J190" s="2531">
        <f>'Part III-A-Uses of Funds'!J80</f>
        <v>45000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90000</v>
      </c>
      <c r="H191" s="2531"/>
      <c r="I191" s="1729"/>
      <c r="J191" s="2531">
        <f>'Part III-A-Uses of Funds'!J81</f>
        <v>90000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27000</v>
      </c>
      <c r="H192" s="2531"/>
      <c r="I192" s="1729"/>
      <c r="J192" s="2531">
        <f>'Part III-A-Uses of Funds'!J82</f>
        <v>15000</v>
      </c>
      <c r="K192" s="2531"/>
      <c r="L192" s="2520"/>
      <c r="M192" s="2531">
        <f>'Part III-A-Uses of Funds'!M82</f>
        <v>0</v>
      </c>
      <c r="N192" s="2531"/>
      <c r="O192" s="1729"/>
      <c r="P192" s="2531">
        <f>'Part III-A-Uses of Funds'!P82</f>
        <v>0</v>
      </c>
      <c r="Q192" s="2531"/>
      <c r="R192" s="1729"/>
      <c r="S192" s="2531">
        <f>'Part III-A-Uses of Funds'!S82</f>
        <v>12000</v>
      </c>
      <c r="T192" s="2531"/>
    </row>
    <row r="193" spans="1:20">
      <c r="A193" s="1729"/>
      <c r="B193" s="1729" t="s">
        <v>1894</v>
      </c>
      <c r="C193" s="1729"/>
      <c r="D193" s="1729"/>
      <c r="E193" s="1729"/>
      <c r="F193" s="1729"/>
      <c r="G193" s="2531">
        <f>'Part III-A-Uses of Funds'!G83</f>
        <v>29000</v>
      </c>
      <c r="H193" s="2531"/>
      <c r="I193" s="1729"/>
      <c r="J193" s="2531">
        <f>'Part III-A-Uses of Funds'!J83</f>
        <v>29000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7500</v>
      </c>
      <c r="H194" s="2531"/>
      <c r="I194" s="1729"/>
      <c r="J194" s="2531">
        <f>'Part III-A-Uses of Funds'!J84</f>
        <v>7500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444000</v>
      </c>
      <c r="H196" s="2531"/>
      <c r="I196" s="1729"/>
      <c r="J196" s="2531">
        <f>SUM(J185:J195)</f>
        <v>432000</v>
      </c>
      <c r="K196" s="2531"/>
      <c r="L196" s="2520"/>
      <c r="M196" s="2531">
        <f>SUM(M185:M195)</f>
        <v>0</v>
      </c>
      <c r="N196" s="2531"/>
      <c r="O196" s="1729"/>
      <c r="P196" s="2531">
        <f>SUM(P185:P195)</f>
        <v>0</v>
      </c>
      <c r="Q196" s="2531"/>
      <c r="R196" s="1729"/>
      <c r="S196" s="2531">
        <f>SUM(S185:S195)</f>
        <v>12000</v>
      </c>
      <c r="T196" s="2531"/>
    </row>
    <row r="197" spans="1:20">
      <c r="A197" s="1729"/>
      <c r="B197" s="2501" t="s">
        <v>1191</v>
      </c>
      <c r="C197" s="1729"/>
      <c r="D197" s="2584" t="s">
        <v>3143</v>
      </c>
      <c r="E197" s="2585">
        <f>G202/'Part V-Revenues &amp; Expenses'!$P$67</f>
        <v>913.29166666666663</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22402</v>
      </c>
      <c r="H198" s="2531"/>
      <c r="I198" s="1729"/>
      <c r="J198" s="2531">
        <f>'Part III-A-Uses of Funds'!J88</f>
        <v>22402</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20636</v>
      </c>
      <c r="H200" s="2531"/>
      <c r="I200" s="377"/>
      <c r="J200" s="2531">
        <f>'Part III-A-Uses of Funds'!J90</f>
        <v>20636</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800</v>
      </c>
      <c r="H201" s="2531"/>
      <c r="I201" s="377"/>
      <c r="J201" s="2531">
        <f>'Part III-A-Uses of Funds'!J91</f>
        <v>800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43838</v>
      </c>
      <c r="H202" s="2531"/>
      <c r="I202" s="1729"/>
      <c r="J202" s="2531">
        <f>SUM(J198:J201)</f>
        <v>43838</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5061</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0</v>
      </c>
      <c r="H207" s="2531"/>
      <c r="I207" s="1729"/>
      <c r="J207" s="2531"/>
      <c r="K207" s="2531"/>
      <c r="L207" s="2520"/>
      <c r="M207" s="2531"/>
      <c r="N207" s="2531"/>
      <c r="O207" s="1729"/>
      <c r="P207" s="2531"/>
      <c r="Q207" s="2531"/>
      <c r="R207" s="1729"/>
      <c r="S207" s="2531">
        <f>'Part III-A-Uses of Funds'!S97</f>
        <v>0</v>
      </c>
      <c r="T207" s="2531"/>
    </row>
    <row r="208" spans="1:20">
      <c r="A208" s="1729"/>
      <c r="B208" s="1729" t="s">
        <v>1197</v>
      </c>
      <c r="C208" s="1729"/>
      <c r="D208" s="1729"/>
      <c r="E208" s="1729"/>
      <c r="F208" s="1729"/>
      <c r="G208" s="2531">
        <f>'Part III-A-Uses of Funds'!G98</f>
        <v>15000</v>
      </c>
      <c r="H208" s="2531"/>
      <c r="I208" s="1729"/>
      <c r="J208" s="2531"/>
      <c r="K208" s="2531"/>
      <c r="L208" s="2520"/>
      <c r="M208" s="2531"/>
      <c r="N208" s="2531"/>
      <c r="O208" s="1729"/>
      <c r="P208" s="2531"/>
      <c r="Q208" s="2531"/>
      <c r="R208" s="1729"/>
      <c r="S208" s="2531">
        <f>'Part III-A-Uses of Funds'!S98</f>
        <v>15000</v>
      </c>
      <c r="T208" s="2531"/>
    </row>
    <row r="209" spans="1:20">
      <c r="A209" s="1729"/>
      <c r="B209" s="1729" t="s">
        <v>1198</v>
      </c>
      <c r="C209" s="1729"/>
      <c r="D209" s="1729"/>
      <c r="E209" s="1729"/>
      <c r="F209" s="1729"/>
      <c r="G209" s="2531">
        <f>'Part III-A-Uses of Funds'!G99</f>
        <v>15000</v>
      </c>
      <c r="H209" s="2531"/>
      <c r="I209" s="1729"/>
      <c r="J209" s="2531"/>
      <c r="K209" s="2531"/>
      <c r="L209" s="2520"/>
      <c r="M209" s="2531"/>
      <c r="N209" s="2531"/>
      <c r="O209" s="1729"/>
      <c r="P209" s="2531"/>
      <c r="Q209" s="2531"/>
      <c r="R209" s="1729"/>
      <c r="S209" s="2531">
        <f>'Part III-A-Uses of Funds'!S99</f>
        <v>15000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30000</v>
      </c>
      <c r="H213" s="2531"/>
      <c r="I213" s="1729"/>
      <c r="J213" s="2531"/>
      <c r="K213" s="2531"/>
      <c r="L213" s="2520"/>
      <c r="M213" s="2531"/>
      <c r="N213" s="2531"/>
      <c r="O213" s="1729"/>
      <c r="P213" s="2531"/>
      <c r="Q213" s="2531"/>
      <c r="R213" s="1729"/>
      <c r="S213" s="2531">
        <f>SUM(S207:S212)</f>
        <v>30000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5008</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5009</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97200</v>
      </c>
      <c r="F218" s="2589"/>
      <c r="G218" s="2531">
        <f>'Part III-A-Uses of Funds'!G108</f>
        <v>97200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97200</v>
      </c>
      <c r="T218" s="2531"/>
    </row>
    <row r="219" spans="1:20">
      <c r="A219" s="1729"/>
      <c r="B219" s="1729" t="s">
        <v>701</v>
      </c>
      <c r="C219" s="1729"/>
      <c r="D219" s="1729"/>
      <c r="E219" s="2589">
        <f>AF221+AF225</f>
        <v>0</v>
      </c>
      <c r="F219" s="2589"/>
      <c r="G219" s="2531">
        <f>'Part III-A-Uses of Funds'!G109</f>
        <v>48000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48000</v>
      </c>
      <c r="T219" s="2531"/>
    </row>
    <row r="220" spans="1:20">
      <c r="A220" s="1729"/>
      <c r="B220" s="1729" t="s">
        <v>3360</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4738</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168200</v>
      </c>
      <c r="H224" s="2531"/>
      <c r="I224" s="1729"/>
      <c r="J224" s="2520"/>
      <c r="K224" s="2520"/>
      <c r="L224" s="2520"/>
      <c r="M224" s="2520"/>
      <c r="N224" s="2520"/>
      <c r="O224" s="1729"/>
      <c r="P224" s="2520"/>
      <c r="Q224" s="2520"/>
      <c r="R224" s="1729"/>
      <c r="S224" s="2531">
        <f>SUM(S215:S223)</f>
        <v>168200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3000</v>
      </c>
      <c r="H226" s="2531"/>
      <c r="I226" s="1729"/>
      <c r="J226" s="2531"/>
      <c r="K226" s="2531"/>
      <c r="L226" s="2520"/>
      <c r="M226" s="2531"/>
      <c r="N226" s="2531"/>
      <c r="O226" s="1729"/>
      <c r="P226" s="2531"/>
      <c r="Q226" s="2531"/>
      <c r="R226" s="1729"/>
      <c r="S226" s="2531">
        <f>'Part III-A-Uses of Funds'!S116</f>
        <v>3000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30000</v>
      </c>
      <c r="H228" s="2531"/>
      <c r="I228" s="1729"/>
      <c r="J228" s="2531"/>
      <c r="K228" s="2531"/>
      <c r="L228" s="2520"/>
      <c r="M228" s="2531"/>
      <c r="N228" s="2531"/>
      <c r="O228" s="1729"/>
      <c r="P228" s="2531"/>
      <c r="Q228" s="2531"/>
      <c r="R228" s="1729"/>
      <c r="S228" s="2531">
        <f>'Part III-A-Uses of Funds'!S118</f>
        <v>30000</v>
      </c>
      <c r="T228" s="2531"/>
    </row>
    <row r="229" spans="1:20" ht="15.95"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33000</v>
      </c>
      <c r="H230" s="2531"/>
      <c r="I230" s="1729"/>
      <c r="J230" s="2531"/>
      <c r="K230" s="2531"/>
      <c r="L230" s="2520"/>
      <c r="M230" s="2531"/>
      <c r="N230" s="2531"/>
      <c r="O230" s="1729"/>
      <c r="P230" s="2531"/>
      <c r="Q230" s="2531"/>
      <c r="R230" s="1729"/>
      <c r="S230" s="2531">
        <f>SUM(S226:S229)</f>
        <v>33000</v>
      </c>
      <c r="T230" s="2531"/>
    </row>
    <row r="231" spans="1:20" ht="13.5">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660000</v>
      </c>
      <c r="H232" s="2531"/>
      <c r="I232" s="1729"/>
      <c r="J232" s="2531">
        <f>'Part III-A-Uses of Funds'!J122</f>
        <v>660000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3322</v>
      </c>
      <c r="C233" s="1729"/>
      <c r="D233" s="1729"/>
      <c r="E233" s="1729"/>
      <c r="F233" s="2593">
        <f>'Part III-A-Uses of Funds'!F123</f>
        <v>660000</v>
      </c>
      <c r="G233" s="2594" t="s">
        <v>4616</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38000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38000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622000</v>
      </c>
      <c r="H236" s="2531"/>
      <c r="I236" s="1729"/>
      <c r="J236" s="2531">
        <f>'Part III-A-Uses of Funds'!J126</f>
        <v>622000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1320000</v>
      </c>
      <c r="H237" s="2531"/>
      <c r="I237" s="1729"/>
      <c r="J237" s="2531">
        <f>SUM(J232:J236)</f>
        <v>1282000</v>
      </c>
      <c r="K237" s="2531"/>
      <c r="L237" s="2520"/>
      <c r="M237" s="2531">
        <f>SUM(M232:M236)</f>
        <v>0</v>
      </c>
      <c r="N237" s="2531"/>
      <c r="O237" s="1729"/>
      <c r="P237" s="2531">
        <f>SUM(P232:P236)</f>
        <v>0</v>
      </c>
      <c r="Q237" s="2531"/>
      <c r="R237" s="1729"/>
      <c r="S237" s="2531">
        <f>SUM(S232:S236)</f>
        <v>38000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43200</v>
      </c>
      <c r="H239" s="2531"/>
      <c r="I239" s="1729"/>
      <c r="J239" s="2588"/>
      <c r="K239" s="2588"/>
      <c r="L239" s="2588"/>
      <c r="M239" s="2588"/>
      <c r="N239" s="2588"/>
      <c r="O239" s="1729"/>
      <c r="P239" s="2588"/>
      <c r="Q239" s="2588"/>
      <c r="R239" s="1729"/>
      <c r="S239" s="2531">
        <f>'Part III-A-Uses of Funds'!S129</f>
        <v>43200</v>
      </c>
      <c r="T239" s="2531"/>
    </row>
    <row r="240" spans="1:20">
      <c r="A240" s="1729"/>
      <c r="B240" s="1729" t="s">
        <v>1434</v>
      </c>
      <c r="C240" s="1729"/>
      <c r="D240" s="1729"/>
      <c r="E240" s="1729"/>
      <c r="F240" s="2598">
        <f>+'Part V-Revenues &amp; Expenses'!$Q$232*('DCA Underwriting Assumptions'!$Q$104/12)</f>
        <v>73068</v>
      </c>
      <c r="G240" s="2531">
        <f>'Part III-A-Uses of Funds'!G130</f>
        <v>73068</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73068</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161031.98630787336</v>
      </c>
      <c r="G241" s="2531">
        <f>'Part III-A-Uses of Funds'!G131</f>
        <v>161032</v>
      </c>
      <c r="H241" s="2531"/>
      <c r="I241" s="1729"/>
      <c r="J241" s="2599" t="str">
        <f>IF(E241&gt;G241,"WARNING! ODR proposed is below minimum - add comment.","")</f>
        <v/>
      </c>
      <c r="K241" s="2588"/>
      <c r="L241" s="2588"/>
      <c r="M241" s="2588"/>
      <c r="N241" s="2588"/>
      <c r="O241" s="1729"/>
      <c r="P241" s="2588"/>
      <c r="Q241" s="2588"/>
      <c r="R241" s="1729"/>
      <c r="S241" s="2531">
        <f>'Part III-A-Uses of Funds'!S131</f>
        <v>161032</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3052</v>
      </c>
      <c r="F243" s="2598">
        <f>IF('Part V-Revenues &amp; Expenses'!$P$67=0,0,G243/'Part V-Revenues &amp; Expenses'!$P$67)</f>
        <v>1354.1666666666667</v>
      </c>
      <c r="G243" s="2531">
        <f>'Part III-A-Uses of Funds'!G133</f>
        <v>65000</v>
      </c>
      <c r="H243" s="2531"/>
      <c r="I243" s="1729"/>
      <c r="J243" s="2531">
        <f>'Part III-A-Uses of Funds'!J133</f>
        <v>65000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342300</v>
      </c>
      <c r="H245" s="2531"/>
      <c r="I245" s="1729"/>
      <c r="J245" s="2531">
        <f>SUM(J243:J244)</f>
        <v>65000</v>
      </c>
      <c r="K245" s="2531"/>
      <c r="L245" s="2520"/>
      <c r="M245" s="2531">
        <f>SUM(M243:M244)</f>
        <v>0</v>
      </c>
      <c r="N245" s="2531"/>
      <c r="O245" s="1729"/>
      <c r="P245" s="2531">
        <f>SUM(P243:P244)</f>
        <v>0</v>
      </c>
      <c r="Q245" s="2531"/>
      <c r="R245" s="1729"/>
      <c r="S245" s="2531">
        <f>SUM(S239:S244)</f>
        <v>277300</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5061</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5062</v>
      </c>
      <c r="C256" s="1729"/>
      <c r="D256" s="1729"/>
      <c r="E256" s="2557"/>
      <c r="F256" s="2605"/>
      <c r="G256" s="2553">
        <f>G128+G134+G138+G146+G151+G156+G165+G183+G196+G202+G213+G224+G230+G237+G245+G254</f>
        <v>15242164</v>
      </c>
      <c r="H256" s="2553"/>
      <c r="I256" s="1729"/>
      <c r="J256" s="2553">
        <f>J128+J134+J138+J146+J151+J156+J165+J183+J196+J202+J213+J224+J230+J237+J245+J254</f>
        <v>13830664</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1411500</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5063</v>
      </c>
      <c r="C258" s="2570"/>
      <c r="D258" s="2607">
        <f>IF('Part V-Revenues &amp; Expenses'!$P$67=0,0,G256/'Part V-Revenues &amp; Expenses'!$P$67)</f>
        <v>317545.08333333331</v>
      </c>
      <c r="E258" s="2607"/>
      <c r="F258" s="2587" t="s">
        <v>2480</v>
      </c>
      <c r="G258" s="2607">
        <f>IF('Part V-Revenues &amp; Expenses'!$K$179=0,0,G256/'Part V-Revenues &amp; Expenses'!$K$179)</f>
        <v>311.71981921181259</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13830664</v>
      </c>
      <c r="K272" s="2536"/>
      <c r="L272" s="1729"/>
      <c r="M272" s="2536">
        <f>M256</f>
        <v>0</v>
      </c>
      <c r="N272" s="2536"/>
      <c r="O272" s="1729"/>
      <c r="P272" s="2536">
        <f>P256</f>
        <v>0</v>
      </c>
      <c r="Q272" s="2536"/>
      <c r="R272" s="2612" t="s">
        <v>4750</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13830664</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13830664</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13830664</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1244759.76</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1244759</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5064</v>
      </c>
      <c r="C286" s="1729"/>
      <c r="D286" s="1729"/>
      <c r="E286" s="1729"/>
      <c r="F286" s="1729"/>
      <c r="G286" s="1729"/>
      <c r="H286" s="1729"/>
      <c r="I286" s="1729"/>
      <c r="J286" s="2536">
        <f>G256</f>
        <v>15242164</v>
      </c>
      <c r="K286" s="2536"/>
      <c r="L286" s="2536"/>
      <c r="M286" s="1729"/>
      <c r="N286" s="2612" t="s">
        <v>4610</v>
      </c>
      <c r="O286" s="2612"/>
      <c r="P286" s="2612"/>
      <c r="Q286" s="2612"/>
      <c r="R286" s="1729"/>
      <c r="S286" s="2507" t="s">
        <v>3102</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492288</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14749876</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1474987.6</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5065</v>
      </c>
      <c r="C292" s="1729"/>
      <c r="D292" s="1729"/>
      <c r="E292" s="1729"/>
      <c r="F292" s="1729"/>
      <c r="G292" s="1729"/>
      <c r="H292" s="1729"/>
      <c r="I292" s="1729"/>
      <c r="J292" s="2621">
        <f>N292+Q292</f>
        <v>1.2130000000000001</v>
      </c>
      <c r="K292" s="2621"/>
      <c r="L292" s="2621"/>
      <c r="M292" s="1534" t="s">
        <v>1210</v>
      </c>
      <c r="N292" s="2622">
        <f>'Part III-A-Uses of Funds'!N182</f>
        <v>0.8</v>
      </c>
      <c r="O292" s="2622"/>
      <c r="P292" s="1534" t="s">
        <v>569</v>
      </c>
      <c r="Q292" s="2622">
        <f>'Part III-A-Uses of Funds'!Q182</f>
        <v>0.41299999999999998</v>
      </c>
      <c r="R292" s="2622"/>
      <c r="S292" s="1729"/>
      <c r="T292" s="1729"/>
    </row>
    <row r="293" spans="1:20">
      <c r="A293" s="1729"/>
      <c r="B293" s="2501" t="s">
        <v>1338</v>
      </c>
      <c r="C293" s="1729"/>
      <c r="D293" s="1729"/>
      <c r="E293" s="1729"/>
      <c r="F293" s="1729"/>
      <c r="G293" s="1729"/>
      <c r="H293" s="1729"/>
      <c r="I293" s="1729"/>
      <c r="J293" s="2535">
        <f>ROUNDDOWN(IF(J292=0,"",J290/J292),0)</f>
        <v>1215983</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5066</v>
      </c>
      <c r="C297" s="1729"/>
      <c r="D297" s="1729"/>
      <c r="E297" s="1729"/>
      <c r="F297" s="1729"/>
      <c r="G297" s="1729"/>
      <c r="H297" s="1729"/>
      <c r="I297" s="1729"/>
      <c r="J297" s="2535">
        <f>'Part III-A-Uses of Funds'!J187</f>
        <v>1215000</v>
      </c>
      <c r="K297" s="2535"/>
      <c r="L297" s="2535"/>
      <c r="M297" s="1729"/>
      <c r="N297" s="1729"/>
      <c r="O297" s="1729"/>
      <c r="P297" s="1729"/>
      <c r="Q297" s="2507" t="s">
        <v>4144</v>
      </c>
      <c r="R297" s="2507"/>
      <c r="S297" s="2507" t="str">
        <f>'Part VIII Scoring Criteria'!$J$12</f>
        <v>Rural</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5067</v>
      </c>
      <c r="C299" s="1729"/>
      <c r="D299" s="1729"/>
      <c r="E299" s="1729"/>
      <c r="F299" s="1729"/>
      <c r="G299" s="1729"/>
      <c r="H299" s="1729"/>
      <c r="I299" s="1729"/>
      <c r="J299" s="2535">
        <f>'Part III-A-Uses of Funds'!J189</f>
        <v>1215000</v>
      </c>
      <c r="K299" s="2535"/>
      <c r="L299" s="2535"/>
      <c r="M299" s="2625" t="str">
        <f>IF(J297=0,"",IF(J299&gt;J297,"Request can't exceed Maximum - REVISE (Try Round Down)!",""))</f>
        <v/>
      </c>
      <c r="N299" s="2625"/>
      <c r="O299" s="2625"/>
      <c r="P299" s="2625"/>
      <c r="Q299" s="2594" t="s">
        <v>4438</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5068</v>
      </c>
      <c r="C301" s="1729"/>
      <c r="D301" s="377"/>
      <c r="E301" s="377"/>
      <c r="F301" s="2508"/>
      <c r="G301" s="1729"/>
      <c r="H301" s="1729"/>
      <c r="I301" s="1729"/>
      <c r="J301" s="2535">
        <f>IF(J299="",0,+MIN(J297,J299))</f>
        <v>1215000</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Please see the schedule of values provided by Fairway Construction for detail of hard costs.
Consstruction Loan fee amount based on term sheet from Sterling Bank.1% of $10,900,000 = $109,000.</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Pinecrest Village  -  Douglas  -  Coffee,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5069</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5070</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5071</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5072</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Pinecrest Village,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4630</v>
      </c>
      <c r="I393" s="1657" t="str">
        <f>'Part IV-Utility Allowances'!I3</f>
        <v>DCA South</v>
      </c>
      <c r="J393" s="1657"/>
    </row>
    <row r="395" spans="1:13">
      <c r="A395" s="2645" t="s">
        <v>5073</v>
      </c>
    </row>
    <row r="397" spans="1:13">
      <c r="A397" s="360" t="s">
        <v>572</v>
      </c>
      <c r="B397" s="360" t="s">
        <v>2054</v>
      </c>
      <c r="F397" s="358" t="s">
        <v>2311</v>
      </c>
      <c r="G397" s="358"/>
      <c r="H397" s="358"/>
      <c r="I397" s="358" t="str">
        <f>'Part IV-Utility Allowances'!I7</f>
        <v>DCA Utility Allowance- South</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17</v>
      </c>
      <c r="M405" s="1804">
        <f>'Part IV-Utility Allowances'!M15</f>
        <v>0</v>
      </c>
    </row>
    <row r="406" spans="1:13">
      <c r="B406" s="358" t="s">
        <v>3184</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34</v>
      </c>
      <c r="M408" s="1804">
        <f>'Part IV-Utility Allowances'!M18</f>
        <v>0</v>
      </c>
    </row>
    <row r="409" spans="1:13">
      <c r="B409" s="358" t="s">
        <v>1290</v>
      </c>
      <c r="C409" s="358"/>
      <c r="D409" s="358" t="s">
        <v>5032</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71</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Electric Fee</v>
      </c>
      <c r="D411" s="361"/>
      <c r="E411" s="361"/>
      <c r="F411" s="2647" t="str">
        <f>'Part IV-Utility Allowances'!F21</f>
        <v>X</v>
      </c>
      <c r="G411" s="2647">
        <f>'Part IV-Utility Allowances'!G21</f>
        <v>0</v>
      </c>
      <c r="I411" s="1804">
        <f>'Part IV-Utility Allowances'!I21</f>
        <v>0</v>
      </c>
      <c r="J411" s="1804">
        <f>'Part IV-Utility Allowances'!J21</f>
        <v>20</v>
      </c>
      <c r="K411" s="1804">
        <f>'Part IV-Utility Allowances'!K21</f>
        <v>20</v>
      </c>
      <c r="L411" s="1804">
        <f>'Part IV-Utility Allowances'!L21</f>
        <v>20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123</v>
      </c>
      <c r="K412" s="2647">
        <f>IF(SUM(K402:K411)=0,0,IF(OR($D402="&lt;&lt;Select Fuel &gt;&gt;",$D403="&lt;&lt;Select Fuel &gt;&gt;",$D404="&lt;&lt;Select Fuel &gt;&gt;"),"Select Fuel",IF($E409="&lt;Select&gt;","Submeter?",SUM(K402:K411))))</f>
        <v>153</v>
      </c>
      <c r="L412" s="2647">
        <f>IF(SUM(L402:L411)=0,0,IF(OR($D402="&lt;&lt;Select Fuel &gt;&gt;",$D403="&lt;&lt;Select Fuel &gt;&gt;",$D404="&lt;&lt;Select Fuel &gt;&gt;"),"Select Fuel",IF($E409="&lt;Select&gt;","Submeter?",SUM(L402:L411))))</f>
        <v>185</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5032</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5033</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Pinecrest Village,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Pinecrest Village,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Coffee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5074</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5075</v>
      </c>
      <c r="D444" s="2518"/>
      <c r="E444" s="2518"/>
      <c r="F444" s="2518"/>
      <c r="G444" s="1804" t="str">
        <f>'Part V-Revenues &amp; Expenses'!G6</f>
        <v>&lt;Select&gt;</v>
      </c>
      <c r="H444" s="2654" t="s">
        <v>3997</v>
      </c>
      <c r="I444" s="2654"/>
      <c r="J444" s="2654"/>
      <c r="K444" s="2655" t="s">
        <v>3050</v>
      </c>
      <c r="L444" s="2656" t="str">
        <f>'Part I-Project Identification'!$A$6</f>
        <v>2024 May 7</v>
      </c>
      <c r="M444" s="2656"/>
      <c r="N444" s="2656"/>
      <c r="O444" s="2657" t="s">
        <v>5076</v>
      </c>
      <c r="P444" s="2658">
        <f>'Part V-Revenues &amp; Expenses'!P6</f>
        <v>38700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huduser.org</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5077</v>
      </c>
      <c r="L447" s="1546" t="s">
        <v>139</v>
      </c>
      <c r="M447" s="1546"/>
      <c r="N447" s="2655" t="s">
        <v>2178</v>
      </c>
      <c r="O447" s="2655" t="s">
        <v>4379</v>
      </c>
      <c r="P447" s="2651" t="s">
        <v>5078</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5079</v>
      </c>
      <c r="KD447" s="359" t="s">
        <v>5079</v>
      </c>
      <c r="KE447" s="359" t="s">
        <v>5079</v>
      </c>
      <c r="KF447" s="359" t="s">
        <v>5079</v>
      </c>
      <c r="KG447" s="359" t="s">
        <v>5079</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 customHeight="1">
      <c r="A456" s="2647" t="str">
        <f t="shared" si="0"/>
        <v/>
      </c>
      <c r="B456" s="2666">
        <f>'Part V-Revenues &amp; Expenses'!B18</f>
        <v>50</v>
      </c>
      <c r="C456" s="2667">
        <f>'Part V-Revenues &amp; Expenses'!C18</f>
        <v>1</v>
      </c>
      <c r="D456" s="2668">
        <f>'Part V-Revenues &amp; Expenses'!D18</f>
        <v>1</v>
      </c>
      <c r="E456" s="2669">
        <f>'Part V-Revenues &amp; Expenses'!E18</f>
        <v>3</v>
      </c>
      <c r="F456" s="2669">
        <f>'Part V-Revenues &amp; Expenses'!F18</f>
        <v>708</v>
      </c>
      <c r="G456" s="2669">
        <f>'Part V-Revenues &amp; Expenses'!G18</f>
        <v>726</v>
      </c>
      <c r="H456" s="2669">
        <f>'Part V-Revenues &amp; Expenses'!H18</f>
        <v>648</v>
      </c>
      <c r="I456" s="2669">
        <f>'Part V-Revenues &amp; Expenses'!I18</f>
        <v>0</v>
      </c>
      <c r="J456" s="2669">
        <f>'Part V-Revenues &amp; Expenses'!J18</f>
        <v>123</v>
      </c>
      <c r="K456" s="2670">
        <f>'Part V-Revenues &amp; Expenses'!K18</f>
        <v>0</v>
      </c>
      <c r="L456" s="2671">
        <f t="shared" si="1"/>
        <v>525</v>
      </c>
      <c r="M456" s="2671">
        <f t="shared" si="2"/>
        <v>1575</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3</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2124</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3</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3</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3</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3</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 customHeight="1">
      <c r="A457" s="2647" t="str">
        <f t="shared" si="0"/>
        <v/>
      </c>
      <c r="B457" s="2666">
        <f>'Part V-Revenues &amp; Expenses'!B19</f>
        <v>50</v>
      </c>
      <c r="C457" s="2667">
        <f>'Part V-Revenues &amp; Expenses'!C19</f>
        <v>2</v>
      </c>
      <c r="D457" s="2668">
        <f>'Part V-Revenues &amp; Expenses'!D19</f>
        <v>2</v>
      </c>
      <c r="E457" s="2669">
        <f>'Part V-Revenues &amp; Expenses'!E19</f>
        <v>13</v>
      </c>
      <c r="F457" s="2669">
        <f>'Part V-Revenues &amp; Expenses'!F19</f>
        <v>943</v>
      </c>
      <c r="G457" s="2669">
        <f>'Part V-Revenues &amp; Expenses'!G19</f>
        <v>871</v>
      </c>
      <c r="H457" s="2669">
        <f>'Part V-Revenues &amp; Expenses'!H19</f>
        <v>778</v>
      </c>
      <c r="I457" s="2669">
        <f>'Part V-Revenues &amp; Expenses'!I19</f>
        <v>0</v>
      </c>
      <c r="J457" s="2669">
        <f>'Part V-Revenues &amp; Expenses'!J19</f>
        <v>153</v>
      </c>
      <c r="K457" s="2670">
        <f>'Part V-Revenues &amp; Expenses'!K19</f>
        <v>0</v>
      </c>
      <c r="L457" s="2671">
        <f t="shared" si="1"/>
        <v>625</v>
      </c>
      <c r="M457" s="2671">
        <f t="shared" si="2"/>
        <v>8125</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f t="shared" si="20"/>
        <v>13</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f t="shared" si="135"/>
        <v>12259</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13</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13</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f t="shared" si="260"/>
        <v>13</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13</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 customHeight="1">
      <c r="A458" s="2647" t="str">
        <f t="shared" si="0"/>
        <v/>
      </c>
      <c r="B458" s="2666">
        <f>'Part V-Revenues &amp; Expenses'!B20</f>
        <v>50</v>
      </c>
      <c r="C458" s="2667">
        <f>'Part V-Revenues &amp; Expenses'!C20</f>
        <v>3</v>
      </c>
      <c r="D458" s="2668">
        <f>'Part V-Revenues &amp; Expenses'!D20</f>
        <v>2</v>
      </c>
      <c r="E458" s="2669">
        <f>'Part V-Revenues &amp; Expenses'!E20</f>
        <v>10</v>
      </c>
      <c r="F458" s="2669">
        <f>'Part V-Revenues &amp; Expenses'!F20</f>
        <v>1122</v>
      </c>
      <c r="G458" s="2669">
        <f>'Part V-Revenues &amp; Expenses'!G20</f>
        <v>1006</v>
      </c>
      <c r="H458" s="2669">
        <f>'Part V-Revenues &amp; Expenses'!H20</f>
        <v>895</v>
      </c>
      <c r="I458" s="2669">
        <f>'Part V-Revenues &amp; Expenses'!I20</f>
        <v>0</v>
      </c>
      <c r="J458" s="2669">
        <f>'Part V-Revenues &amp; Expenses'!J20</f>
        <v>185</v>
      </c>
      <c r="K458" s="2670">
        <f>'Part V-Revenues &amp; Expenses'!K20</f>
        <v>0</v>
      </c>
      <c r="L458" s="2671">
        <f t="shared" si="1"/>
        <v>710</v>
      </c>
      <c r="M458" s="2671">
        <f t="shared" si="2"/>
        <v>7100</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f t="shared" si="21"/>
        <v>10</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f t="shared" si="136"/>
        <v>11220</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f t="shared" si="171"/>
        <v>10</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f t="shared" si="216"/>
        <v>10</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f t="shared" si="261"/>
        <v>10</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0</v>
      </c>
      <c r="MN458" s="1658">
        <f t="shared" si="336"/>
        <v>10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 customHeight="1">
      <c r="A459" s="2647" t="str">
        <f t="shared" si="0"/>
        <v/>
      </c>
      <c r="B459" s="2666">
        <f>'Part V-Revenues &amp; Expenses'!B21</f>
        <v>60</v>
      </c>
      <c r="C459" s="2667">
        <f>'Part V-Revenues &amp; Expenses'!C21</f>
        <v>1</v>
      </c>
      <c r="D459" s="2668">
        <f>'Part V-Revenues &amp; Expenses'!D21</f>
        <v>1</v>
      </c>
      <c r="E459" s="2669">
        <f>'Part V-Revenues &amp; Expenses'!E21</f>
        <v>1</v>
      </c>
      <c r="F459" s="2669">
        <f>'Part V-Revenues &amp; Expenses'!F21</f>
        <v>708</v>
      </c>
      <c r="G459" s="2669">
        <f>'Part V-Revenues &amp; Expenses'!G21</f>
        <v>871</v>
      </c>
      <c r="H459" s="2669">
        <f>'Part V-Revenues &amp; Expenses'!H21</f>
        <v>723</v>
      </c>
      <c r="I459" s="2669">
        <f>'Part V-Revenues &amp; Expenses'!I21</f>
        <v>0</v>
      </c>
      <c r="J459" s="2669">
        <f>'Part V-Revenues &amp; Expenses'!J21</f>
        <v>123</v>
      </c>
      <c r="K459" s="2670">
        <f>'Part V-Revenues &amp; Expenses'!K21</f>
        <v>0</v>
      </c>
      <c r="L459" s="2671">
        <f t="shared" si="1"/>
        <v>600</v>
      </c>
      <c r="M459" s="2671">
        <f t="shared" si="2"/>
        <v>600</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f t="shared" si="14"/>
        <v>1</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f t="shared" si="129"/>
        <v>708</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f t="shared" si="169"/>
        <v>1</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f t="shared" si="214"/>
        <v>1</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f t="shared" si="259"/>
        <v>1</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1</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 customHeight="1">
      <c r="A460" s="2647" t="str">
        <f t="shared" si="0"/>
        <v/>
      </c>
      <c r="B460" s="2666">
        <f>'Part V-Revenues &amp; Expenses'!B22</f>
        <v>60</v>
      </c>
      <c r="C460" s="2667">
        <f>'Part V-Revenues &amp; Expenses'!C22</f>
        <v>2</v>
      </c>
      <c r="D460" s="2668">
        <f>'Part V-Revenues &amp; Expenses'!D22</f>
        <v>2</v>
      </c>
      <c r="E460" s="2669">
        <f>'Part V-Revenues &amp; Expenses'!E22</f>
        <v>3</v>
      </c>
      <c r="F460" s="2669">
        <f>'Part V-Revenues &amp; Expenses'!F22</f>
        <v>943</v>
      </c>
      <c r="G460" s="2669">
        <f>'Part V-Revenues &amp; Expenses'!G22</f>
        <v>1045</v>
      </c>
      <c r="H460" s="2669">
        <f>'Part V-Revenues &amp; Expenses'!H22</f>
        <v>853</v>
      </c>
      <c r="I460" s="2669">
        <f>'Part V-Revenues &amp; Expenses'!I22</f>
        <v>0</v>
      </c>
      <c r="J460" s="2669">
        <f>'Part V-Revenues &amp; Expenses'!J22</f>
        <v>153</v>
      </c>
      <c r="K460" s="2670">
        <f>'Part V-Revenues &amp; Expenses'!K22</f>
        <v>0</v>
      </c>
      <c r="L460" s="2671">
        <f t="shared" si="1"/>
        <v>700</v>
      </c>
      <c r="M460" s="2671">
        <f t="shared" si="2"/>
        <v>2100</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3</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2829</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3</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3</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3</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3</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 customHeight="1">
      <c r="A461" s="2647" t="str">
        <f t="shared" si="0"/>
        <v/>
      </c>
      <c r="B461" s="2666">
        <f>'Part V-Revenues &amp; Expenses'!B23</f>
        <v>60</v>
      </c>
      <c r="C461" s="2667">
        <f>'Part V-Revenues &amp; Expenses'!C23</f>
        <v>3</v>
      </c>
      <c r="D461" s="2668">
        <f>'Part V-Revenues &amp; Expenses'!D23</f>
        <v>2</v>
      </c>
      <c r="E461" s="2669">
        <f>'Part V-Revenues &amp; Expenses'!E23</f>
        <v>2</v>
      </c>
      <c r="F461" s="2669">
        <f>'Part V-Revenues &amp; Expenses'!F23</f>
        <v>1122</v>
      </c>
      <c r="G461" s="2669">
        <f>'Part V-Revenues &amp; Expenses'!G23</f>
        <v>1207</v>
      </c>
      <c r="H461" s="2669">
        <f>'Part V-Revenues &amp; Expenses'!H23</f>
        <v>985</v>
      </c>
      <c r="I461" s="2669">
        <f>'Part V-Revenues &amp; Expenses'!I23</f>
        <v>0</v>
      </c>
      <c r="J461" s="2669">
        <f>'Part V-Revenues &amp; Expenses'!J23</f>
        <v>185</v>
      </c>
      <c r="K461" s="2670">
        <f>'Part V-Revenues &amp; Expenses'!K23</f>
        <v>0</v>
      </c>
      <c r="L461" s="2671">
        <f t="shared" si="1"/>
        <v>800</v>
      </c>
      <c r="M461" s="2671">
        <f t="shared" si="2"/>
        <v>1600</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f t="shared" si="16"/>
        <v>2</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f t="shared" si="131"/>
        <v>2244</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f t="shared" si="171"/>
        <v>2</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f t="shared" si="216"/>
        <v>2</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f t="shared" si="261"/>
        <v>2</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2</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 customHeight="1">
      <c r="A462" s="2647" t="str">
        <f t="shared" si="0"/>
        <v/>
      </c>
      <c r="B462" s="2666">
        <f>'Part V-Revenues &amp; Expenses'!B24</f>
        <v>70</v>
      </c>
      <c r="C462" s="2667">
        <f>'Part V-Revenues &amp; Expenses'!C24</f>
        <v>1</v>
      </c>
      <c r="D462" s="2668">
        <f>'Part V-Revenues &amp; Expenses'!D24</f>
        <v>1</v>
      </c>
      <c r="E462" s="2669">
        <f>'Part V-Revenues &amp; Expenses'!E24</f>
        <v>2</v>
      </c>
      <c r="F462" s="2669">
        <f>'Part V-Revenues &amp; Expenses'!F24</f>
        <v>708</v>
      </c>
      <c r="G462" s="2669">
        <f>'Part V-Revenues &amp; Expenses'!G24</f>
        <v>1016</v>
      </c>
      <c r="H462" s="2669">
        <f>'Part V-Revenues &amp; Expenses'!H24</f>
        <v>798</v>
      </c>
      <c r="I462" s="2669">
        <f>'Part V-Revenues &amp; Expenses'!I24</f>
        <v>0</v>
      </c>
      <c r="J462" s="2669">
        <f>'Part V-Revenues &amp; Expenses'!J24</f>
        <v>123</v>
      </c>
      <c r="K462" s="2670">
        <f>'Part V-Revenues &amp; Expenses'!K24</f>
        <v>0</v>
      </c>
      <c r="L462" s="2671">
        <f t="shared" si="1"/>
        <v>675</v>
      </c>
      <c r="M462" s="2671">
        <f t="shared" si="2"/>
        <v>1350</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f t="shared" si="9"/>
        <v>2</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f t="shared" si="69"/>
        <v>2</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f t="shared" si="124"/>
        <v>1416</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f t="shared" si="169"/>
        <v>2</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f t="shared" si="214"/>
        <v>2</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f t="shared" si="259"/>
        <v>2</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2</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 customHeight="1">
      <c r="A463" s="2647" t="str">
        <f t="shared" si="0"/>
        <v/>
      </c>
      <c r="B463" s="2666">
        <f>'Part V-Revenues &amp; Expenses'!B25</f>
        <v>70</v>
      </c>
      <c r="C463" s="2667">
        <f>'Part V-Revenues &amp; Expenses'!C25</f>
        <v>2</v>
      </c>
      <c r="D463" s="2668">
        <f>'Part V-Revenues &amp; Expenses'!D25</f>
        <v>2</v>
      </c>
      <c r="E463" s="2669">
        <f>'Part V-Revenues &amp; Expenses'!E25</f>
        <v>8</v>
      </c>
      <c r="F463" s="2669">
        <f>'Part V-Revenues &amp; Expenses'!F25</f>
        <v>943</v>
      </c>
      <c r="G463" s="2669">
        <f>'Part V-Revenues &amp; Expenses'!G25</f>
        <v>1219</v>
      </c>
      <c r="H463" s="2669">
        <f>'Part V-Revenues &amp; Expenses'!H25</f>
        <v>928</v>
      </c>
      <c r="I463" s="2669">
        <f>'Part V-Revenues &amp; Expenses'!I25</f>
        <v>0</v>
      </c>
      <c r="J463" s="2669">
        <f>'Part V-Revenues &amp; Expenses'!J25</f>
        <v>153</v>
      </c>
      <c r="K463" s="2670">
        <f>'Part V-Revenues &amp; Expenses'!K25</f>
        <v>0</v>
      </c>
      <c r="L463" s="2671">
        <f t="shared" si="1"/>
        <v>775</v>
      </c>
      <c r="M463" s="2671">
        <f t="shared" si="2"/>
        <v>6200</v>
      </c>
      <c r="N463" s="2540" t="str">
        <f>'Part V-Revenues &amp; Expenses'!N25</f>
        <v>No</v>
      </c>
      <c r="O463" s="1257" t="str">
        <f>'Part V-Revenues &amp; Expenses'!O25</f>
        <v>Low-Rise Apt</v>
      </c>
      <c r="P463" s="2540" t="str">
        <f>'Part V-Revenues &amp; Expenses'!P25</f>
        <v>New Construction</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f t="shared" si="10"/>
        <v>8</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f t="shared" si="70"/>
        <v>8</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f t="shared" si="125"/>
        <v>7544</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f t="shared" si="170"/>
        <v>8</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f t="shared" si="215"/>
        <v>8</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f t="shared" si="260"/>
        <v>8</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8</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 customHeight="1">
      <c r="A464" s="2647" t="str">
        <f t="shared" si="0"/>
        <v/>
      </c>
      <c r="B464" s="2666">
        <f>'Part V-Revenues &amp; Expenses'!B26</f>
        <v>70</v>
      </c>
      <c r="C464" s="2667">
        <f>'Part V-Revenues &amp; Expenses'!C26</f>
        <v>3</v>
      </c>
      <c r="D464" s="2668">
        <f>'Part V-Revenues &amp; Expenses'!D26</f>
        <v>2</v>
      </c>
      <c r="E464" s="2669">
        <f>'Part V-Revenues &amp; Expenses'!E26</f>
        <v>6</v>
      </c>
      <c r="F464" s="2669">
        <f>'Part V-Revenues &amp; Expenses'!F26</f>
        <v>1122</v>
      </c>
      <c r="G464" s="2669">
        <f>'Part V-Revenues &amp; Expenses'!G26</f>
        <v>1408</v>
      </c>
      <c r="H464" s="2669">
        <f>'Part V-Revenues &amp; Expenses'!H26</f>
        <v>1060</v>
      </c>
      <c r="I464" s="2669">
        <f>'Part V-Revenues &amp; Expenses'!I26</f>
        <v>0</v>
      </c>
      <c r="J464" s="2669">
        <f>'Part V-Revenues &amp; Expenses'!J26</f>
        <v>185</v>
      </c>
      <c r="K464" s="2670">
        <f>'Part V-Revenues &amp; Expenses'!K26</f>
        <v>0</v>
      </c>
      <c r="L464" s="2671">
        <f t="shared" si="1"/>
        <v>875</v>
      </c>
      <c r="M464" s="2671">
        <f t="shared" si="2"/>
        <v>5250</v>
      </c>
      <c r="N464" s="2540" t="str">
        <f>'Part V-Revenues &amp; Expenses'!N26</f>
        <v>No</v>
      </c>
      <c r="O464" s="1257" t="str">
        <f>'Part V-Revenues &amp; Expenses'!O26</f>
        <v>Low-Rise Apt</v>
      </c>
      <c r="P464" s="2540" t="str">
        <f>'Part V-Revenues &amp; Expenses'!P26</f>
        <v>New Construction</v>
      </c>
      <c r="Q464" s="1805" t="str">
        <f>'Part V-Revenues &amp; Expenses'!Q26</f>
        <v>No</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f t="shared" si="11"/>
        <v>6</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f t="shared" si="71"/>
        <v>6</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f t="shared" si="126"/>
        <v>6732</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f t="shared" si="171"/>
        <v>6</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f t="shared" si="216"/>
        <v>6</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f t="shared" si="261"/>
        <v>6</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6</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 customHeight="1">
      <c r="A487" s="2647">
        <f>COUNT(A449,A450,A451,A452,A453,A454,A455,A456,A457,A458,A459,A460,A461,A462,A463,A464,A465,A466,A467,A468,A469,A470,A471,A472,A473,A474,A475,A476,A477,A478)</f>
        <v>0</v>
      </c>
      <c r="B487" s="2675" t="s">
        <v>3647</v>
      </c>
      <c r="C487" s="2675"/>
      <c r="D487" s="2676" t="s">
        <v>953</v>
      </c>
      <c r="E487" s="2677">
        <f>SUM(E449:E486)</f>
        <v>48</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47076</v>
      </c>
      <c r="H487" s="2679" t="s">
        <v>3644</v>
      </c>
      <c r="I487" s="2680" t="s">
        <v>3645</v>
      </c>
      <c r="J487" s="2681" t="str">
        <f>IF(P505=0,"",IF(SUM(P496:P500)/P505&gt;=0.4,"Pass","Fail"))</f>
        <v>Pass</v>
      </c>
      <c r="K487" s="362"/>
      <c r="L487" s="2682" t="s">
        <v>1223</v>
      </c>
      <c r="M487" s="2683">
        <f>SUM(M449:M486)</f>
        <v>33900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2</v>
      </c>
      <c r="AE487" s="1659">
        <f t="shared" si="338"/>
        <v>8</v>
      </c>
      <c r="AF487" s="1659">
        <f t="shared" si="338"/>
        <v>6</v>
      </c>
      <c r="AG487" s="1659">
        <f t="shared" si="338"/>
        <v>0</v>
      </c>
      <c r="AH487" s="1659">
        <f t="shared" si="338"/>
        <v>0</v>
      </c>
      <c r="AI487" s="1659">
        <f t="shared" si="338"/>
        <v>1</v>
      </c>
      <c r="AJ487" s="1659">
        <f t="shared" si="338"/>
        <v>3</v>
      </c>
      <c r="AK487" s="1659">
        <f t="shared" si="338"/>
        <v>2</v>
      </c>
      <c r="AL487" s="1659">
        <f t="shared" si="338"/>
        <v>0</v>
      </c>
      <c r="AM487" s="1659">
        <f>SUM(AM449:AM486)</f>
        <v>0</v>
      </c>
      <c r="AN487" s="1659">
        <f>SUM(AN449:AN486)</f>
        <v>3</v>
      </c>
      <c r="AO487" s="1659">
        <f>SUM(AO449:AO486)</f>
        <v>13</v>
      </c>
      <c r="AP487" s="1659">
        <f>SUM(AP449:AP486)</f>
        <v>10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2</v>
      </c>
      <c r="CM487" s="1659">
        <f>SUM(CM449:CM486)</f>
        <v>8</v>
      </c>
      <c r="CN487" s="1659">
        <f>SUM(CN449:CN486)</f>
        <v>6</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1416</v>
      </c>
      <c r="EP487" s="1659">
        <f t="shared" si="338"/>
        <v>7544</v>
      </c>
      <c r="EQ487" s="1659">
        <f t="shared" si="338"/>
        <v>6732</v>
      </c>
      <c r="ER487" s="1659">
        <f t="shared" si="338"/>
        <v>0</v>
      </c>
      <c r="ES487" s="1659">
        <f t="shared" si="338"/>
        <v>0</v>
      </c>
      <c r="ET487" s="1659">
        <f t="shared" si="338"/>
        <v>708</v>
      </c>
      <c r="EU487" s="1659">
        <f t="shared" si="338"/>
        <v>2829</v>
      </c>
      <c r="EV487" s="1659">
        <f t="shared" si="338"/>
        <v>2244</v>
      </c>
      <c r="EW487" s="1659">
        <f t="shared" si="338"/>
        <v>0</v>
      </c>
      <c r="EX487" s="1659">
        <f t="shared" si="338"/>
        <v>0</v>
      </c>
      <c r="EY487" s="1659">
        <f t="shared" si="338"/>
        <v>2124</v>
      </c>
      <c r="EZ487" s="1659">
        <f t="shared" si="338"/>
        <v>12259</v>
      </c>
      <c r="FA487" s="1659">
        <f t="shared" si="338"/>
        <v>11220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6</v>
      </c>
      <c r="GI487" s="1659">
        <f t="shared" si="340"/>
        <v>24</v>
      </c>
      <c r="GJ487" s="1659">
        <f t="shared" si="340"/>
        <v>18</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6</v>
      </c>
      <c r="IB487" s="1659">
        <f t="shared" si="341"/>
        <v>24</v>
      </c>
      <c r="IC487" s="1659">
        <f t="shared" si="341"/>
        <v>18</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6</v>
      </c>
      <c r="JU487" s="1659">
        <f t="shared" si="341"/>
        <v>24</v>
      </c>
      <c r="JV487" s="1659">
        <f t="shared" si="341"/>
        <v>18</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6</v>
      </c>
      <c r="MM487" s="1659">
        <f t="shared" si="343"/>
        <v>24</v>
      </c>
      <c r="MN487" s="1659">
        <f t="shared" si="343"/>
        <v>18</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684"/>
      <c r="D488" s="2647" t="s">
        <v>3554</v>
      </c>
      <c r="E488" s="2677">
        <f>SUM(E456:E486)</f>
        <v>48</v>
      </c>
      <c r="F488" s="2678">
        <f>(E456*F456+E457*F457+E458*F458+E459*F459+E460*F460+E461*F461+E462*F462+E463*F463+E464*F464+E465*F465+E466*F466+E467*F467+E468*F468+E469*F469+E470*F470+E471*F471+E472*F472+E473*F473+E474*F474+E475*F475+E476*F476+E477*F477+E478*F478+E479*F479+E480*F480+E481*F481+E482*F482+E483*F483+E484*F484+E485*F485+E486*F486)</f>
        <v>47076</v>
      </c>
      <c r="H488" s="2679"/>
      <c r="I488" s="2680" t="s">
        <v>3646</v>
      </c>
      <c r="J488" s="2681" t="str">
        <f>IF(P505=0,"",IF(SUM(P497:P500)/P505&gt;=0.2,"Pass","Fail"))</f>
        <v>Pass</v>
      </c>
      <c r="K488" s="362"/>
      <c r="L488" s="2676" t="s">
        <v>756</v>
      </c>
      <c r="M488" s="2683">
        <f>M487*12</f>
        <v>406800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5" customHeight="1">
      <c r="A489" s="2563" t="s">
        <v>5080</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4536</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2</v>
      </c>
      <c r="M495" s="2688">
        <f>AE487</f>
        <v>8</v>
      </c>
      <c r="N495" s="2688">
        <f>AF487</f>
        <v>6</v>
      </c>
      <c r="O495" s="2688">
        <f>AG487</f>
        <v>0</v>
      </c>
      <c r="P495" s="2688">
        <f t="shared" si="344"/>
        <v>16</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v>
      </c>
      <c r="M496" s="2688">
        <f>AJ487</f>
        <v>3</v>
      </c>
      <c r="N496" s="2688">
        <f>AK487</f>
        <v>2</v>
      </c>
      <c r="O496" s="2688">
        <f>AL487</f>
        <v>0</v>
      </c>
      <c r="P496" s="2688">
        <f t="shared" si="344"/>
        <v>6</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3</v>
      </c>
      <c r="M497" s="2688">
        <f>AO487</f>
        <v>13</v>
      </c>
      <c r="N497" s="2688">
        <f>AP487</f>
        <v>10</v>
      </c>
      <c r="O497" s="2688">
        <f>AQ487</f>
        <v>0</v>
      </c>
      <c r="P497" s="2688">
        <f t="shared" si="344"/>
        <v>26</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6</v>
      </c>
      <c r="M501" s="2688">
        <f>SUM(M494:M500)</f>
        <v>24</v>
      </c>
      <c r="N501" s="2688">
        <f>SUM(N494:N500)</f>
        <v>18</v>
      </c>
      <c r="O501" s="2688">
        <f>SUM(O494:O500)</f>
        <v>0</v>
      </c>
      <c r="P501" s="2688">
        <f t="shared" si="344"/>
        <v>48</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6</v>
      </c>
      <c r="M503" s="2693">
        <f>SUM(M501:M502)</f>
        <v>24</v>
      </c>
      <c r="N503" s="2693">
        <f>SUM(N501:N502)</f>
        <v>18</v>
      </c>
      <c r="O503" s="2693">
        <f>SUM(O501:O502)</f>
        <v>0</v>
      </c>
      <c r="P503" s="2693">
        <f t="shared" si="344"/>
        <v>48</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6</v>
      </c>
      <c r="M505" s="2694">
        <f>SUM(M503:M504)</f>
        <v>24</v>
      </c>
      <c r="N505" s="2694">
        <f>SUM(N503:N504)</f>
        <v>18</v>
      </c>
      <c r="O505" s="2694">
        <f>SUM(O503:O504)</f>
        <v>0</v>
      </c>
      <c r="P505" s="2694">
        <f t="shared" si="344"/>
        <v>48</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5081</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5082</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5083</v>
      </c>
      <c r="E511" s="358"/>
      <c r="F511" s="358"/>
      <c r="H511" s="1418" t="s">
        <v>3556</v>
      </c>
      <c r="I511" s="361"/>
      <c r="J511" s="358"/>
      <c r="K511" s="2697" t="str">
        <f t="shared" ref="K511:P511" si="347">IF(OR(K495=0,K505=0),"",K495/K505)</f>
        <v/>
      </c>
      <c r="L511" s="2697">
        <f t="shared" si="347"/>
        <v>0.33333333333333331</v>
      </c>
      <c r="M511" s="2697">
        <f t="shared" si="347"/>
        <v>0.33333333333333331</v>
      </c>
      <c r="N511" s="2697">
        <f t="shared" si="347"/>
        <v>0.33333333333333331</v>
      </c>
      <c r="O511" s="2697" t="str">
        <f t="shared" si="347"/>
        <v/>
      </c>
      <c r="P511" s="2697">
        <f t="shared" si="347"/>
        <v>0.33333333333333331</v>
      </c>
      <c r="S511" s="2674"/>
      <c r="T511" s="2674"/>
      <c r="U511" s="2674"/>
      <c r="V511" s="2674"/>
      <c r="W511" s="2674"/>
    </row>
    <row r="512" spans="1:343">
      <c r="C512" s="358"/>
      <c r="D512" s="358"/>
      <c r="E512" s="358"/>
      <c r="F512" s="358"/>
      <c r="H512" s="1418" t="s">
        <v>5081</v>
      </c>
      <c r="I512" s="361"/>
      <c r="J512" s="358"/>
      <c r="K512" s="2698" t="str">
        <f>IF(OR(K495=0,P511="",K505=0),"",P511*K505)</f>
        <v/>
      </c>
      <c r="L512" s="2698">
        <f>IF(OR(L495=0,P511="",L505=0),"",P511*L505)</f>
        <v>2</v>
      </c>
      <c r="M512" s="2698">
        <f>IF(OR(M495=0,P511="",M505=0),"",P511*M505)</f>
        <v>8</v>
      </c>
      <c r="N512" s="2698">
        <f>IF(OR(N495=0,P511="",N505=0),"",P511*N505)</f>
        <v>6</v>
      </c>
      <c r="O512" s="2698" t="str">
        <f>IF(OR(O495=0,P511="",O505=0),"",P511*O505)</f>
        <v/>
      </c>
      <c r="P512" s="2698">
        <f>IF(OR(P511="",P505=0),"",P511*P505)</f>
        <v>16</v>
      </c>
      <c r="S512" s="2674"/>
      <c r="T512" s="2674"/>
      <c r="U512" s="2674"/>
      <c r="V512" s="2674"/>
      <c r="W512" s="2674"/>
    </row>
    <row r="513" spans="3:23">
      <c r="C513" s="358"/>
      <c r="D513" s="358"/>
      <c r="E513" s="358"/>
      <c r="F513" s="358"/>
      <c r="G513" s="2680"/>
      <c r="H513" s="1418" t="s">
        <v>5082</v>
      </c>
      <c r="I513" s="361"/>
      <c r="J513" s="358"/>
      <c r="K513" s="2698" t="str">
        <f t="shared" ref="K513:P513" si="348">IF(OR(K512="",K495=0),"", K495-K512)</f>
        <v/>
      </c>
      <c r="L513" s="2698">
        <f t="shared" si="348"/>
        <v>0</v>
      </c>
      <c r="M513" s="2698">
        <f t="shared" si="348"/>
        <v>0</v>
      </c>
      <c r="N513" s="2698">
        <f t="shared" si="348"/>
        <v>0</v>
      </c>
      <c r="O513" s="2698" t="str">
        <f t="shared" si="348"/>
        <v/>
      </c>
      <c r="P513" s="2698">
        <f t="shared" si="348"/>
        <v>0</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f t="shared" si="349"/>
        <v>0.16666666666666666</v>
      </c>
      <c r="M514" s="2697">
        <f t="shared" si="349"/>
        <v>0.125</v>
      </c>
      <c r="N514" s="2697">
        <f t="shared" si="349"/>
        <v>0.1111111111111111</v>
      </c>
      <c r="O514" s="2697" t="str">
        <f t="shared" si="349"/>
        <v/>
      </c>
      <c r="P514" s="2697">
        <f t="shared" si="349"/>
        <v>0.125</v>
      </c>
      <c r="S514" s="2674"/>
      <c r="T514" s="2674"/>
      <c r="U514" s="2674"/>
      <c r="V514" s="2674"/>
      <c r="W514" s="2674"/>
    </row>
    <row r="515" spans="3:23" ht="15.75" customHeight="1">
      <c r="C515" s="360"/>
      <c r="D515" s="358"/>
      <c r="E515" s="358"/>
      <c r="F515" s="358"/>
      <c r="H515" s="1418" t="s">
        <v>5081</v>
      </c>
      <c r="I515" s="361"/>
      <c r="J515" s="358"/>
      <c r="K515" s="2698" t="str">
        <f>IF(OR(K496=0,P514="",K505=0),"",P514*K505)</f>
        <v/>
      </c>
      <c r="L515" s="2698">
        <f>IF(OR(L496=0,P514="",L505=0),"",P514*L505)</f>
        <v>0.75</v>
      </c>
      <c r="M515" s="2698">
        <f>IF(OR(M496=0,P514="",M505=0),"",P514*M505)</f>
        <v>3</v>
      </c>
      <c r="N515" s="2698">
        <f>IF(OR(N496=0,P514="",N505=0),"",P514*N505)</f>
        <v>2.25</v>
      </c>
      <c r="O515" s="2698" t="str">
        <f>IF(OR(O496=0,P514="",O505=0),"",P514*O505)</f>
        <v/>
      </c>
      <c r="P515" s="2698">
        <f>IF(OR(P514="",P505=0),"",P514*P505)</f>
        <v>6</v>
      </c>
      <c r="S515" s="2674"/>
      <c r="T515" s="2674"/>
      <c r="U515" s="2674"/>
      <c r="V515" s="2674"/>
      <c r="W515" s="2674"/>
    </row>
    <row r="516" spans="3:23" ht="15.75" customHeight="1">
      <c r="C516" s="360"/>
      <c r="D516" s="358"/>
      <c r="E516" s="358"/>
      <c r="F516" s="358"/>
      <c r="G516" s="2680"/>
      <c r="H516" s="1418" t="s">
        <v>5082</v>
      </c>
      <c r="I516" s="361"/>
      <c r="J516" s="358"/>
      <c r="K516" s="2698" t="str">
        <f t="shared" ref="K516:P516" si="350">IF(OR(K515="",K496=0),"", K496-K515)</f>
        <v/>
      </c>
      <c r="L516" s="2698">
        <f t="shared" si="350"/>
        <v>0.25</v>
      </c>
      <c r="M516" s="2698">
        <f t="shared" si="350"/>
        <v>0</v>
      </c>
      <c r="N516" s="2698">
        <f t="shared" si="350"/>
        <v>-0.25</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f t="shared" si="351"/>
        <v>0.5</v>
      </c>
      <c r="M517" s="2697">
        <f t="shared" si="351"/>
        <v>0.54166666666666663</v>
      </c>
      <c r="N517" s="2697">
        <f t="shared" si="351"/>
        <v>0.55555555555555558</v>
      </c>
      <c r="O517" s="2697" t="str">
        <f t="shared" si="351"/>
        <v/>
      </c>
      <c r="P517" s="2697">
        <f t="shared" si="351"/>
        <v>0.54166666666666663</v>
      </c>
    </row>
    <row r="518" spans="3:23">
      <c r="C518" s="360"/>
      <c r="D518" s="360"/>
      <c r="E518" s="360"/>
      <c r="H518" s="1418" t="s">
        <v>5081</v>
      </c>
      <c r="I518" s="361"/>
      <c r="J518" s="358"/>
      <c r="K518" s="2698" t="str">
        <f>IF(OR(K497=0,P517="",K505=0),"",P517*K505)</f>
        <v/>
      </c>
      <c r="L518" s="2698">
        <f>IF(OR(L497=0,P517="",L505=0),"",P517*L505)</f>
        <v>3.25</v>
      </c>
      <c r="M518" s="2698">
        <f>IF(OR(M497=0,P517="",M505=0),"",P517*M505)</f>
        <v>13</v>
      </c>
      <c r="N518" s="2698">
        <f>IF(OR(N497=0,P517="",N505=0),"",P517*N505)</f>
        <v>9.75</v>
      </c>
      <c r="O518" s="2698" t="str">
        <f>IF(OR(O497=0,P517="",O505=0),"",P517*O505)</f>
        <v/>
      </c>
      <c r="P518" s="2698">
        <f>IF(OR(P517="",P505=0),"",P517*P505)</f>
        <v>26</v>
      </c>
    </row>
    <row r="519" spans="3:23">
      <c r="C519" s="360"/>
      <c r="D519" s="360"/>
      <c r="E519" s="360"/>
      <c r="G519" s="2680"/>
      <c r="H519" s="1418" t="s">
        <v>5082</v>
      </c>
      <c r="I519" s="361"/>
      <c r="J519" s="358"/>
      <c r="K519" s="2698" t="str">
        <f t="shared" ref="K519:P519" si="352">IF(OR(K518="",K497=0),"", K497-K518)</f>
        <v/>
      </c>
      <c r="L519" s="2698">
        <f t="shared" si="352"/>
        <v>-0.25</v>
      </c>
      <c r="M519" s="2698">
        <f t="shared" si="352"/>
        <v>0</v>
      </c>
      <c r="N519" s="2698">
        <f t="shared" si="352"/>
        <v>0.25</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5081</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5082</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5081</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5082</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5081</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5082</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2</v>
      </c>
      <c r="M532" s="2688">
        <f>CM487</f>
        <v>8</v>
      </c>
      <c r="N532" s="2688">
        <f>CN487</f>
        <v>6</v>
      </c>
      <c r="O532" s="2688">
        <f>CO487</f>
        <v>0</v>
      </c>
      <c r="P532" s="2688">
        <f t="shared" si="359"/>
        <v>16</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2</v>
      </c>
      <c r="M538" s="2694">
        <f>SUM(M531:M537)</f>
        <v>8</v>
      </c>
      <c r="N538" s="2694">
        <f>SUM(N531:N537)</f>
        <v>6</v>
      </c>
      <c r="O538" s="2694">
        <f>SUM(O531:O537)</f>
        <v>0</v>
      </c>
      <c r="P538" s="2694">
        <f t="shared" si="359"/>
        <v>16</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5084</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4825</v>
      </c>
      <c r="F551" s="358"/>
      <c r="H551" s="1418" t="s">
        <v>1341</v>
      </c>
      <c r="I551" s="361"/>
      <c r="K551" s="2688">
        <f>GG487</f>
        <v>0</v>
      </c>
      <c r="L551" s="2688">
        <f>GH487</f>
        <v>6</v>
      </c>
      <c r="M551" s="2688">
        <f>GI487</f>
        <v>24</v>
      </c>
      <c r="N551" s="2688">
        <f>GJ487</f>
        <v>18</v>
      </c>
      <c r="O551" s="2688">
        <f>GK487</f>
        <v>0</v>
      </c>
      <c r="P551" s="2688">
        <f t="shared" ref="P551:P561" si="361">SUM(K551:O551)</f>
        <v>48</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4832</v>
      </c>
      <c r="J553" s="2702">
        <f>IF($P$67=0,0,P553/$P$67)</f>
        <v>0</v>
      </c>
      <c r="K553" s="2694">
        <f>SUM(K551:K552)+GQ487</f>
        <v>0</v>
      </c>
      <c r="L553" s="2694">
        <f>SUM(L551:L552)+GR487</f>
        <v>6</v>
      </c>
      <c r="M553" s="2694">
        <f>SUM(M551:M552)+GS487</f>
        <v>24</v>
      </c>
      <c r="N553" s="2694">
        <f>SUM(N551:N552)+GT487</f>
        <v>18</v>
      </c>
      <c r="O553" s="2694">
        <f>SUM(O551:O552)+GU487</f>
        <v>0</v>
      </c>
      <c r="P553" s="2694">
        <f t="shared" si="361"/>
        <v>48</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4832</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4832</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4826</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5034</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4824</v>
      </c>
      <c r="D565" s="2674"/>
      <c r="E565" s="1418" t="s">
        <v>4764</v>
      </c>
      <c r="F565" s="358"/>
      <c r="G565" s="2507"/>
      <c r="H565" s="359"/>
      <c r="K565" s="2704" t="str">
        <f>'Part V-Revenues &amp; Expenses'!K127</f>
        <v>Yes</v>
      </c>
      <c r="L565" s="358" t="s">
        <v>4827</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4828</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5085</v>
      </c>
      <c r="D569" s="2674"/>
      <c r="E569" s="1418" t="s">
        <v>36</v>
      </c>
      <c r="F569" s="358"/>
      <c r="G569" s="2507"/>
      <c r="H569" s="359"/>
      <c r="K569" s="2694">
        <f t="shared" ref="K569:P569" si="362">SUM(K570:K577)</f>
        <v>0</v>
      </c>
      <c r="L569" s="2694">
        <f t="shared" si="362"/>
        <v>6</v>
      </c>
      <c r="M569" s="2694">
        <f t="shared" si="362"/>
        <v>24</v>
      </c>
      <c r="N569" s="2694">
        <f t="shared" si="362"/>
        <v>18</v>
      </c>
      <c r="O569" s="2694">
        <f t="shared" si="362"/>
        <v>0</v>
      </c>
      <c r="P569" s="2694">
        <f t="shared" si="362"/>
        <v>48</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6</v>
      </c>
      <c r="M570" s="2688">
        <f>JU487</f>
        <v>24</v>
      </c>
      <c r="N570" s="2688">
        <f>JV487</f>
        <v>18</v>
      </c>
      <c r="O570" s="2688">
        <f>JW487</f>
        <v>0</v>
      </c>
      <c r="P570" s="2688">
        <f t="shared" ref="P570:P585" si="363">SUM(K570:O570)</f>
        <v>48</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5084</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5086</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6</v>
      </c>
      <c r="M593" s="2688">
        <f t="shared" si="367"/>
        <v>24</v>
      </c>
      <c r="N593" s="2688">
        <f t="shared" si="367"/>
        <v>18</v>
      </c>
      <c r="O593" s="2688">
        <f t="shared" si="367"/>
        <v>0</v>
      </c>
      <c r="P593" s="2694">
        <f t="shared" si="365"/>
        <v>48</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5087</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1416</v>
      </c>
      <c r="M600" s="2713">
        <f>EP487</f>
        <v>7544</v>
      </c>
      <c r="N600" s="2713">
        <f>EQ487</f>
        <v>6732</v>
      </c>
      <c r="O600" s="2713">
        <f>ER487</f>
        <v>0</v>
      </c>
      <c r="P600" s="2713">
        <f t="shared" si="368"/>
        <v>15692</v>
      </c>
      <c r="Q600" s="2698">
        <f>'Part V-Revenues &amp; Expenses'!Q162</f>
        <v>980.75</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708</v>
      </c>
      <c r="M601" s="2713">
        <f>EU487</f>
        <v>2829</v>
      </c>
      <c r="N601" s="2713">
        <f>EV487</f>
        <v>2244</v>
      </c>
      <c r="O601" s="2713">
        <f>EW487</f>
        <v>0</v>
      </c>
      <c r="P601" s="2713">
        <f t="shared" si="368"/>
        <v>5781</v>
      </c>
      <c r="Q601" s="2698">
        <f>'Part V-Revenues &amp; Expenses'!Q163</f>
        <v>963.5</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2124</v>
      </c>
      <c r="M602" s="2713">
        <f>EZ487</f>
        <v>12259</v>
      </c>
      <c r="N602" s="2713">
        <f>FA487</f>
        <v>11220</v>
      </c>
      <c r="O602" s="2713">
        <f>FB487</f>
        <v>0</v>
      </c>
      <c r="P602" s="2713">
        <f t="shared" si="368"/>
        <v>25603</v>
      </c>
      <c r="Q602" s="2698">
        <f>'Part V-Revenues &amp; Expenses'!Q164</f>
        <v>984.73076923076928</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4248</v>
      </c>
      <c r="M606" s="2714">
        <f>SUM(M599:M605)</f>
        <v>22632</v>
      </c>
      <c r="N606" s="2714">
        <f>SUM(N599:N605)</f>
        <v>20196</v>
      </c>
      <c r="O606" s="2714">
        <f>SUM(O599:O605)</f>
        <v>0</v>
      </c>
      <c r="P606" s="2714">
        <f>SUM(K606:O606)</f>
        <v>47076</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4248</v>
      </c>
      <c r="M608" s="2716">
        <f>SUM(M606:M607)</f>
        <v>22632</v>
      </c>
      <c r="N608" s="2716">
        <f>SUM(N606:N607)</f>
        <v>20196</v>
      </c>
      <c r="O608" s="2716">
        <f>SUM(O606:O607)</f>
        <v>0</v>
      </c>
      <c r="P608" s="2716">
        <f>SUM(K608:O608)</f>
        <v>47076</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4248</v>
      </c>
      <c r="M610" s="2717">
        <f>SUM(M608:M609)</f>
        <v>22632</v>
      </c>
      <c r="N610" s="2717">
        <f>SUM(N608:N609)</f>
        <v>20196</v>
      </c>
      <c r="O610" s="2717">
        <f>SUM(O608:O609)</f>
        <v>0</v>
      </c>
      <c r="P610" s="2717">
        <f>SUM(K610:O610)</f>
        <v>47076</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5088</v>
      </c>
      <c r="K613" s="2718" t="str">
        <f>'Part V-Revenues &amp; Expenses'!K175</f>
        <v/>
      </c>
      <c r="L613" s="2718">
        <f>'Part V-Revenues &amp; Expenses'!L175</f>
        <v>708</v>
      </c>
      <c r="M613" s="2718">
        <f>'Part V-Revenues &amp; Expenses'!M175</f>
        <v>943</v>
      </c>
      <c r="N613" s="2718">
        <f>'Part V-Revenues &amp; Expenses'!N175</f>
        <v>1122</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5089</v>
      </c>
      <c r="K616" s="2533">
        <f>'Part V-Revenues &amp; Expenses'!K178</f>
        <v>1821</v>
      </c>
      <c r="L616" s="2533"/>
      <c r="Z616" s="1534">
        <v>68</v>
      </c>
    </row>
    <row r="617" spans="1:380" s="1729" customFormat="1" ht="13.35" customHeight="1">
      <c r="A617" s="2502"/>
      <c r="C617" s="376" t="s">
        <v>242</v>
      </c>
      <c r="K617" s="2533">
        <f>P610+K616</f>
        <v>48897</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5090</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8136</v>
      </c>
      <c r="I621" s="2720"/>
      <c r="J621" s="2705" t="s">
        <v>5091</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5092</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5093</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5092</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5093</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5092</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5093</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5092</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5093</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27012</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51700</v>
      </c>
      <c r="G663" s="2713"/>
      <c r="I663" s="358" t="s">
        <v>1298</v>
      </c>
      <c r="L663" s="2713">
        <f>'Part V-Revenues &amp; Expenses'!L225</f>
        <v>0</v>
      </c>
      <c r="M663" s="2713"/>
      <c r="O663" s="2733">
        <f>+Q662/(P505*0.93)</f>
        <v>605.10752688172045</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51700</v>
      </c>
      <c r="G664" s="2713"/>
      <c r="I664" s="358" t="s">
        <v>1299</v>
      </c>
      <c r="L664" s="2713">
        <f>'Part V-Revenues &amp; Expenses'!L226</f>
        <v>600</v>
      </c>
      <c r="M664" s="2713"/>
      <c r="O664" s="2733">
        <f>+Q662/(P505*0.93)/12</f>
        <v>50.42562724014337</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7889.9800000000105</v>
      </c>
      <c r="G665" s="2713"/>
      <c r="K665" s="2734" t="s">
        <v>184</v>
      </c>
      <c r="L665" s="2713">
        <f>SUM(L663:M664)</f>
        <v>600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111289.98000000001</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8500</v>
      </c>
      <c r="M670" s="2713"/>
      <c r="N670" s="1546" t="str">
        <f>IF(Q672="","",IF(Q670&lt;Q672, "WARNING! OE below required minimum.",""))</f>
        <v/>
      </c>
      <c r="O670" s="1657" t="s">
        <v>2024</v>
      </c>
      <c r="Q670" s="2718">
        <f>F669+F678+F689+L665+L673+L683+L689+Q662</f>
        <v>292272</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2479</v>
      </c>
      <c r="P671" s="2733">
        <f>+Q670/P505</f>
        <v>6089</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1750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4000</v>
      </c>
      <c r="G673" s="2713"/>
      <c r="I673" s="1657"/>
      <c r="K673" s="2734" t="s">
        <v>184</v>
      </c>
      <c r="L673" s="2718">
        <f>SUM(L669:L672)</f>
        <v>10500</v>
      </c>
      <c r="M673" s="2718"/>
      <c r="N673" s="1546"/>
      <c r="O673" s="2737" t="s">
        <v>4829</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3500</v>
      </c>
      <c r="G676" s="2713"/>
      <c r="I676" s="1657" t="s">
        <v>1295</v>
      </c>
      <c r="K676" s="1534" t="s">
        <v>3759</v>
      </c>
      <c r="O676" s="1657" t="s">
        <v>3000</v>
      </c>
      <c r="P676" s="1657"/>
      <c r="Q676" s="2738">
        <f>Q685</f>
        <v>14400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Supportive Services</v>
      </c>
      <c r="C677" s="361"/>
      <c r="D677" s="361"/>
      <c r="E677" s="361"/>
      <c r="F677" s="2713">
        <f>'Part V-Revenues &amp; Expenses'!F239</f>
        <v>2000</v>
      </c>
      <c r="G677" s="2713"/>
      <c r="I677" s="358" t="s">
        <v>1288</v>
      </c>
      <c r="K677" s="2598">
        <f>L677/12/P505</f>
        <v>17.361111111111111</v>
      </c>
      <c r="L677" s="2713">
        <f>'Part V-Revenues &amp; Expenses'!L239</f>
        <v>10000</v>
      </c>
      <c r="M677" s="2713"/>
      <c r="N677" s="1546" t="str">
        <f>IF(Q676&lt;Q685, "WARNING! RR proposed is below the DCA required minimum.","")</f>
        <v/>
      </c>
      <c r="O677" s="361" t="s">
        <v>3758</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11250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5.9027777777777777</v>
      </c>
      <c r="L679" s="2713">
        <f>'Part V-Revenues &amp; Expenses'!L241</f>
        <v>3400</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21.701388888888889</v>
      </c>
      <c r="L680" s="2713">
        <f>'Part V-Revenues &amp; Expenses'!L242</f>
        <v>12500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5400</v>
      </c>
      <c r="G681" s="2713"/>
      <c r="I681" s="358" t="s">
        <v>5094</v>
      </c>
      <c r="K681" s="2598">
        <f>L681/12/P505</f>
        <v>0</v>
      </c>
      <c r="L681" s="2713">
        <f>'Part V-Revenues &amp; Expenses'!L243</f>
        <v>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8600</v>
      </c>
      <c r="G682" s="2713"/>
      <c r="I682" s="2736" t="str">
        <f>'Part V-Revenues &amp; Expenses'!I244</f>
        <v>Cable/Internet Clubhouse</v>
      </c>
      <c r="J682" s="2736"/>
      <c r="K682" s="2598">
        <f>L682/12/P505</f>
        <v>3.4722222222222219</v>
      </c>
      <c r="L682" s="2713">
        <f>'Part V-Revenues &amp; Expenses'!L244</f>
        <v>2000</v>
      </c>
      <c r="M682" s="2713"/>
      <c r="N682" s="1546"/>
      <c r="O682" s="2507" t="s">
        <v>2968</v>
      </c>
      <c r="P682" s="2743" t="str">
        <f>CONCATENATE(SUM(MK487:MO487)," units x $",'DCA Underwriting Assumptions'!$Q$42," =")</f>
        <v>48 units x $300 =</v>
      </c>
      <c r="Q682" s="2743">
        <f>SUM(MK487:MO487)*'DCA Underwriting Assumptions'!$Q$42</f>
        <v>14400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20000</v>
      </c>
      <c r="G683" s="2713"/>
      <c r="K683" s="2734" t="s">
        <v>184</v>
      </c>
      <c r="L683" s="2718">
        <f>SUM(L677:L682)</f>
        <v>27900</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7000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1200</v>
      </c>
      <c r="G685" s="2713"/>
      <c r="I685" s="1657" t="s">
        <v>1296</v>
      </c>
      <c r="O685" s="2682" t="s">
        <v>2460</v>
      </c>
      <c r="P685" s="2672">
        <f>SUM(MF487:MJ487)+SUM(MK487:MO487)+SUM(MP487:MT487)+P563</f>
        <v>48</v>
      </c>
      <c r="Q685" s="2744">
        <f>SUM(Q681:Q684)</f>
        <v>14400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5095</v>
      </c>
      <c r="L686" s="2713">
        <f>'Part V-Revenues &amp; Expenses'!L248</f>
        <v>40747.49</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1000</v>
      </c>
      <c r="G687" s="2713"/>
      <c r="I687" s="358" t="s">
        <v>140</v>
      </c>
      <c r="L687" s="2713">
        <f>'Part V-Revenues &amp; Expenses'!L249</f>
        <v>19772.53</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43200</v>
      </c>
      <c r="G689" s="2713"/>
      <c r="K689" s="2734" t="s">
        <v>184</v>
      </c>
      <c r="L689" s="2718">
        <f>SUM(L685:L688)</f>
        <v>60520.02</v>
      </c>
      <c r="M689" s="2718"/>
      <c r="O689" s="1657" t="s">
        <v>2025</v>
      </c>
      <c r="Q689" s="2718">
        <f>Q670+Q676</f>
        <v>306672</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&lt;&lt;Select&gt;&gt;</v>
      </c>
      <c r="K695" s="2745" t="s">
        <v>3779</v>
      </c>
      <c r="L695" s="1804" t="str">
        <f>'Part V-Revenues &amp; Expenses'!L257</f>
        <v>&lt;&lt;Select&gt;&gt;</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Please see feasibilty folder for calculations of real estate taxes and insurance.</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Pinecrest Village,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5096</v>
      </c>
    </row>
    <row r="705" spans="1:11">
      <c r="C705" s="1546"/>
    </row>
    <row r="706" spans="1:11" ht="12.6" customHeight="1">
      <c r="A706" s="356" t="s">
        <v>2026</v>
      </c>
      <c r="B706" s="2748">
        <f>'DCA Underwriting Assumptions'!$Q$114</f>
        <v>0.02</v>
      </c>
      <c r="C706" s="1546"/>
      <c r="D706" s="2674" t="s">
        <v>5097</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7.0000000000000007E-2</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406800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8136</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-265260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-14400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-29791.972615746738</v>
      </c>
      <c r="C726" s="2757">
        <f>'Part VI-Pro Forma'!C26</f>
        <v>-29791.972615746738</v>
      </c>
      <c r="D726" s="2757">
        <f>'Part VI-Pro Forma'!D26</f>
        <v>-29791.972615746738</v>
      </c>
      <c r="E726" s="2757">
        <f>'Part VI-Pro Forma'!E26</f>
        <v>-29791.972615746738</v>
      </c>
      <c r="F726" s="2757">
        <f>'Part VI-Pro Forma'!F26</f>
        <v>-29791.972615746738</v>
      </c>
      <c r="G726" s="2757">
        <f>'Part VI-Pro Forma'!G26</f>
        <v>-29791.972615746738</v>
      </c>
      <c r="H726" s="2757">
        <f>'Part VI-Pro Forma'!H26</f>
        <v>-29791.972615746738</v>
      </c>
      <c r="I726" s="2757">
        <f>'Part VI-Pro Forma'!I26</f>
        <v>-29791.972615746738</v>
      </c>
      <c r="J726" s="2757">
        <f>'Part VI-Pro Forma'!J26</f>
        <v>-29791.972615746738</v>
      </c>
      <c r="K726" s="2757">
        <f>'Part VI-Pro Forma'!K26</f>
        <v>-29791.972615746738</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3272</v>
      </c>
      <c r="B732" s="2757">
        <f>'Part VI-Pro Forma'!B32</f>
        <v>-13400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484289.89162069233</v>
      </c>
      <c r="C740" s="2757">
        <f>'Part VI-Pro Forma'!C40</f>
        <v>475927.68464755517</v>
      </c>
      <c r="D740" s="2757">
        <f>'Part VI-Pro Forma'!D40</f>
        <v>467184.80418815871</v>
      </c>
      <c r="E740" s="2757">
        <f>'Part VI-Pro Forma'!E40</f>
        <v>458043.92080978194</v>
      </c>
      <c r="F740" s="2757">
        <f>'Part VI-Pro Forma'!F40</f>
        <v>448486.91619040805</v>
      </c>
      <c r="G740" s="2757">
        <f>'Part VI-Pro Forma'!G40</f>
        <v>438494.84720604774</v>
      </c>
      <c r="H740" s="2757">
        <f>'Part VI-Pro Forma'!H40</f>
        <v>428047.90838320594</v>
      </c>
      <c r="I740" s="2757">
        <f>'Part VI-Pro Forma'!I40</f>
        <v>417125.39264206926</v>
      </c>
      <c r="J740" s="2757">
        <f>'Part VI-Pro Forma'!J40</f>
        <v>405705.65025260195</v>
      </c>
      <c r="K740" s="2757">
        <f>'Part VI-Pro Forma'!K40</f>
        <v>393766.04592219647</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-29791.972615746738</v>
      </c>
      <c r="C758" s="2757">
        <f>'Part VI-Pro Forma'!C58</f>
        <v>-29791.972615746738</v>
      </c>
      <c r="D758" s="2757">
        <f>'Part VI-Pro Forma'!D58</f>
        <v>-29791.972615746738</v>
      </c>
      <c r="E758" s="2757">
        <f>'Part VI-Pro Forma'!E58</f>
        <v>-29791.972615746738</v>
      </c>
      <c r="F758" s="2757">
        <f>'Part VI-Pro Forma'!F58</f>
        <v>-29791.972615746738</v>
      </c>
      <c r="G758" s="2757">
        <f>'Part VI-Pro Forma'!G58</f>
        <v>-29791.972615746738</v>
      </c>
      <c r="H758" s="2757">
        <f>'Part VI-Pro Forma'!H58</f>
        <v>-29791.972615746738</v>
      </c>
      <c r="I758" s="2757">
        <f>'Part VI-Pro Forma'!I58</f>
        <v>-29791.972615746738</v>
      </c>
      <c r="J758" s="2757">
        <f>'Part VI-Pro Forma'!J58</f>
        <v>-29791.972615746738</v>
      </c>
      <c r="K758" s="2757">
        <f>'Part VI-Pro Forma'!K58</f>
        <v>-29791.972615746738</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381282.91392982181</v>
      </c>
      <c r="C772" s="2757">
        <f>'Part VI-Pro Forma'!C72</f>
        <v>368231.51121773914</v>
      </c>
      <c r="D772" s="2757">
        <f>'Part VI-Pro Forma'!D72</f>
        <v>354585.96834780788</v>
      </c>
      <c r="E772" s="2757">
        <f>'Part VI-Pro Forma'!E72</f>
        <v>340319.23822517123</v>
      </c>
      <c r="F772" s="2757">
        <f>'Part VI-Pro Forma'!F72</f>
        <v>325403.04248768539</v>
      </c>
      <c r="G772" s="2757">
        <f>'Part VI-Pro Forma'!G72</f>
        <v>309807.81545483042</v>
      </c>
      <c r="H772" s="2757">
        <f>'Part VI-Pro Forma'!H72</f>
        <v>293502.6455250018</v>
      </c>
      <c r="I772" s="2757">
        <f>'Part VI-Pro Forma'!I72</f>
        <v>276455.21390502644</v>
      </c>
      <c r="J772" s="2757">
        <f>'Part VI-Pro Forma'!J72</f>
        <v>258631.73055045647</v>
      </c>
      <c r="K772" s="2757">
        <f>'Part VI-Pro Forma'!K72</f>
        <v>239996.86718966751</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-29791.972615746738</v>
      </c>
      <c r="C790" s="2757">
        <f>'Part VI-Pro Forma'!C90</f>
        <v>-29791.972615746738</v>
      </c>
      <c r="D790" s="2757">
        <f>'Part VI-Pro Forma'!D90</f>
        <v>-29791.972615746738</v>
      </c>
      <c r="E790" s="2757">
        <f>'Part VI-Pro Forma'!E90</f>
        <v>-29791.972615746738</v>
      </c>
      <c r="F790" s="2757">
        <f>'Part VI-Pro Forma'!F90</f>
        <v>-29791.972615746738</v>
      </c>
      <c r="G790" s="2757">
        <f>'Part VI-Pro Forma'!G90</f>
        <v>-29791.972615746738</v>
      </c>
      <c r="H790" s="2757">
        <f>'Part VI-Pro Forma'!H90</f>
        <v>-29791.972615746738</v>
      </c>
      <c r="I790" s="2757">
        <f>'Part VI-Pro Forma'!I90</f>
        <v>-29791.972615746738</v>
      </c>
      <c r="J790" s="2757">
        <f>'Part VI-Pro Forma'!J90</f>
        <v>-29791.972615746738</v>
      </c>
      <c r="K790" s="2757">
        <f>'Part VI-Pro Forma'!K90</f>
        <v>-29791.972615746738</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0</v>
      </c>
      <c r="C795" s="2757">
        <f>'Part VI-Pro Forma'!C95</f>
        <v>0</v>
      </c>
      <c r="D795" s="2757">
        <f>'Part VI-Pro Forma'!D95</f>
        <v>0</v>
      </c>
      <c r="E795" s="2757">
        <f>'Part VI-Pro Forma'!E95</f>
        <v>0</v>
      </c>
      <c r="F795" s="2757">
        <f>'Part VI-Pro Forma'!F95</f>
        <v>0</v>
      </c>
      <c r="G795" s="2757">
        <f>'Part VI-Pro Forma'!G95</f>
        <v>0</v>
      </c>
      <c r="H795" s="2757">
        <f>'Part VI-Pro Forma'!H95</f>
        <v>0</v>
      </c>
      <c r="I795" s="2757">
        <f>'Part VI-Pro Forma'!I95</f>
        <v>0</v>
      </c>
      <c r="J795" s="2757">
        <f>'Part VI-Pro Forma'!J95</f>
        <v>0</v>
      </c>
      <c r="K795" s="2757">
        <f>'Part VI-Pro Forma'!K95</f>
        <v>0</v>
      </c>
    </row>
    <row r="796" spans="1:11">
      <c r="A796" s="356" t="s">
        <v>1095</v>
      </c>
      <c r="B796" s="2757">
        <f>'Part VI-Pro Forma'!B96</f>
        <v>-1615.0866145576001</v>
      </c>
      <c r="C796" s="2757">
        <f>'Part VI-Pro Forma'!C96</f>
        <v>-6102.7395734104321</v>
      </c>
      <c r="D796" s="2757">
        <f>'Part VI-Pro Forma'!D96</f>
        <v>-10831.614711806444</v>
      </c>
      <c r="E796" s="2757">
        <f>'Part VI-Pro Forma'!E96</f>
        <v>-15810.762346947758</v>
      </c>
      <c r="F796" s="2757">
        <f>'Part VI-Pro Forma'!F96</f>
        <v>-21050.550178588473</v>
      </c>
      <c r="G796" s="2757">
        <f>'Part VI-Pro Forma'!G96</f>
        <v>-26560.673727972317</v>
      </c>
      <c r="H796" s="2757">
        <f>'Part VI-Pro Forma'!H96</f>
        <v>-32351.167108287813</v>
      </c>
      <c r="I796" s="2757">
        <f>'Part VI-Pro Forma'!I96</f>
        <v>-38433.414136951811</v>
      </c>
      <c r="J796" s="2757">
        <f>'Part VI-Pro Forma'!J96</f>
        <v>-44818.159800353293</v>
      </c>
      <c r="K796" s="2757">
        <f>'Part VI-Pro Forma'!K96</f>
        <v>-51517.522082012183</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220513.68729900732</v>
      </c>
      <c r="C803" s="2757">
        <f>'Part VI-Pro Forma'!C103</f>
        <v>200143.57289019664</v>
      </c>
      <c r="D803" s="2757">
        <f>'Part VI-Pro Forma'!D103</f>
        <v>178846.14796486651</v>
      </c>
      <c r="E803" s="2757">
        <f>'Part VI-Pro Forma'!E103</f>
        <v>156579.19848450983</v>
      </c>
      <c r="F803" s="2757">
        <f>'Part VI-Pro Forma'!F103</f>
        <v>133298.58869721787</v>
      </c>
      <c r="G803" s="2757">
        <f>'Part VI-Pro Forma'!G103</f>
        <v>108958.17365535141</v>
      </c>
      <c r="H803" s="2757">
        <f>'Part VI-Pro Forma'!H103</f>
        <v>83509.707750746136</v>
      </c>
      <c r="I803" s="2757">
        <f>'Part VI-Pro Forma'!I103</f>
        <v>56902.749086158146</v>
      </c>
      <c r="J803" s="2757">
        <f>'Part VI-Pro Forma'!J103</f>
        <v>29084.559493402248</v>
      </c>
      <c r="K803" s="2757">
        <f>'Part VI-Pro Forma'!K103</f>
        <v>7.1777321863919497E-9</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0</v>
      </c>
      <c r="C825" s="2757">
        <f>'Part VI-Pro Forma'!C125</f>
        <v>0</v>
      </c>
      <c r="D825" s="2757">
        <f>'Part VI-Pro Forma'!D125</f>
        <v>0</v>
      </c>
      <c r="E825" s="2757">
        <f>'Part VI-Pro Forma'!E125</f>
        <v>0</v>
      </c>
      <c r="F825" s="2757">
        <f>'Part VI-Pro Forma'!F125</f>
        <v>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7.5044847223680072E-9</v>
      </c>
      <c r="C833" s="2757">
        <f>'Part VI-Pro Forma'!C133</f>
        <v>7.8461120428852323E-9</v>
      </c>
      <c r="D833" s="2757">
        <f>'Part VI-Pro Forma'!D133</f>
        <v>8.2032912940734487E-9</v>
      </c>
      <c r="E833" s="2757">
        <f>'Part VI-Pro Forma'!E133</f>
        <v>8.5767304478455259E-9</v>
      </c>
      <c r="F833" s="2757">
        <f>'Part VI-Pro Forma'!F133</f>
        <v>8.967169705182225E-9</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f>'Part VI-Pro Forma'!A140</f>
        <v>0</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Pinecrest Village,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4652</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4653</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5098</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4655</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 xml:space="preserve">This application demonstrates that the proposed project is feasible and viable under DCA's rules and requirements that are outlined in the 2024 Qualified Allocation Plan ("QAP").  The application conforms to the 2024 QAP.  </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5099</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Applicant selects Family Tenancy.</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4791</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5014</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The applicant will hire a part-time services manager in accordance with the QAP.</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Novogradac &amp; Company, LLC</v>
      </c>
      <c r="J896" s="2772"/>
      <c r="K896" s="2772"/>
      <c r="L896" s="2772"/>
      <c r="M896" s="2772"/>
      <c r="N896" s="2772"/>
      <c r="O896" s="2772"/>
      <c r="P896" s="2772"/>
      <c r="Q896" s="2772"/>
    </row>
    <row r="897" spans="1:17" ht="15">
      <c r="A897" s="2774"/>
      <c r="B897" s="2484" t="s">
        <v>4657</v>
      </c>
      <c r="C897" s="2484"/>
      <c r="D897" s="2484"/>
      <c r="E897" s="2484"/>
      <c r="F897" s="2484"/>
      <c r="G897" s="2484"/>
      <c r="H897" s="2484"/>
      <c r="I897" s="2484">
        <f>'Part VII-Threshold Criteria'!I54</f>
        <v>0.98599999999999999</v>
      </c>
      <c r="J897" s="2484"/>
      <c r="K897" s="2484"/>
      <c r="L897" s="2779"/>
      <c r="M897" s="2780"/>
      <c r="N897" s="2780"/>
      <c r="O897" s="2780"/>
      <c r="P897" s="2780"/>
      <c r="Q897" s="2487"/>
    </row>
    <row r="898" spans="1:17" ht="15">
      <c r="A898" s="2774"/>
      <c r="B898" s="2484" t="s">
        <v>4658</v>
      </c>
      <c r="C898" s="2484"/>
      <c r="D898" s="2484"/>
      <c r="E898" s="2484"/>
      <c r="F898" s="2484"/>
      <c r="G898" s="2484"/>
      <c r="H898" s="2779" t="s">
        <v>4659</v>
      </c>
      <c r="I898" s="2484">
        <f>'Part VII-Threshold Criteria'!I55</f>
        <v>7.9000000000000001E-2</v>
      </c>
      <c r="J898" s="2484"/>
      <c r="K898" s="2484"/>
      <c r="L898" s="2780"/>
      <c r="M898" s="2781" t="s">
        <v>4660</v>
      </c>
      <c r="N898" s="2484" t="str">
        <f>'Part VII-Threshold Criteria'!N55</f>
        <v>N/A</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As the low capture rate in the market study indicates, there is a strong demand for affordable housing in Douglas.  See the market study included int the Readiness to Proceed folder in the application.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4661</v>
      </c>
      <c r="C906" s="2484"/>
      <c r="D906" s="2484"/>
      <c r="E906" s="2484"/>
      <c r="F906" s="2484"/>
      <c r="G906" s="2484"/>
      <c r="H906" s="2484"/>
      <c r="I906" s="2484"/>
      <c r="J906" s="2484" t="str">
        <f>'Part VII-Threshold Criteria'!J63</f>
        <v>Appraisal required at Threshold review.</v>
      </c>
      <c r="K906" s="2484"/>
      <c r="L906" s="2484"/>
      <c r="M906" s="2484"/>
      <c r="N906" s="2484"/>
      <c r="O906" s="2484"/>
      <c r="P906" s="2484"/>
      <c r="Q906" s="2484"/>
    </row>
    <row r="907" spans="1:17" ht="15">
      <c r="A907" s="2774"/>
      <c r="B907" s="2484" t="s">
        <v>3822</v>
      </c>
      <c r="C907" s="2484"/>
      <c r="D907" s="2484"/>
      <c r="E907" s="2484"/>
      <c r="F907" s="2484"/>
      <c r="G907" s="2484"/>
      <c r="H907" s="2484"/>
      <c r="I907" s="2484"/>
      <c r="J907" s="2484"/>
      <c r="K907" s="2484"/>
      <c r="L907" s="2484"/>
      <c r="M907" s="2484"/>
      <c r="N907" s="2484"/>
      <c r="O907" s="2779"/>
      <c r="P907" s="2487" t="str">
        <f>'Part VII-Threshold Criteria'!P64</f>
        <v>Yes</v>
      </c>
      <c r="Q907" s="2487"/>
    </row>
    <row r="908" spans="1:17" ht="14.1" customHeight="1">
      <c r="A908" s="2484"/>
      <c r="B908" s="2773"/>
      <c r="C908" s="2484" t="s">
        <v>4793</v>
      </c>
      <c r="D908" s="2484"/>
      <c r="E908" s="2484"/>
      <c r="F908" s="2484"/>
      <c r="G908" s="2484"/>
      <c r="H908" s="2484"/>
      <c r="I908" s="2484"/>
      <c r="J908" s="2484"/>
      <c r="K908" s="2484"/>
      <c r="L908" s="2484"/>
      <c r="M908" s="2484"/>
      <c r="N908" s="2484"/>
      <c r="O908" s="2484"/>
      <c r="P908" s="2487" t="str">
        <f>'Part VII-Threshold Criteria'!P65</f>
        <v>Yes</v>
      </c>
      <c r="Q908" s="2487"/>
    </row>
    <row r="909" spans="1:17" ht="15">
      <c r="A909" s="2484"/>
      <c r="B909" s="2776" t="s">
        <v>4655</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 xml:space="preserve">
An appraisal prepared by a DCA approved appraiser will be provided at Threshold Review.</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4998</v>
      </c>
      <c r="C916" s="2484"/>
      <c r="D916" s="2484"/>
      <c r="E916" s="2484"/>
      <c r="F916" s="2484"/>
      <c r="G916" s="2484"/>
      <c r="H916" s="2484"/>
      <c r="I916" s="2484"/>
      <c r="J916" s="2484"/>
      <c r="K916" s="2484"/>
      <c r="L916" s="2782" t="str">
        <f>'Part VII-Threshold Criteria'!L73</f>
        <v>Terracon</v>
      </c>
      <c r="M916" s="2782"/>
      <c r="N916" s="2782"/>
      <c r="O916" s="2782"/>
      <c r="P916" s="2782"/>
      <c r="Q916" s="2782"/>
    </row>
    <row r="917" spans="1:17" ht="15">
      <c r="A917" s="2484"/>
      <c r="B917" s="2484" t="s">
        <v>4662</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4663</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4664</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4665</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4666</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4667</v>
      </c>
      <c r="D923" s="2484"/>
      <c r="E923" s="2484"/>
      <c r="F923" s="2484"/>
      <c r="G923" s="2484"/>
      <c r="H923" s="2484"/>
      <c r="I923" s="2484"/>
      <c r="J923" s="2484"/>
      <c r="K923" s="2484"/>
      <c r="L923" s="2485"/>
      <c r="M923" s="2485"/>
      <c r="N923" s="2484"/>
      <c r="O923" s="2779"/>
      <c r="P923" s="2487" t="str">
        <f>'Part VII-Threshold Criteria'!P80</f>
        <v>Yes</v>
      </c>
      <c r="Q923" s="2487"/>
    </row>
    <row r="924" spans="1:17" ht="14.1" customHeight="1">
      <c r="A924" s="2774"/>
      <c r="B924" s="2484" t="s">
        <v>4819</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Wetlands are on the property; however, the wetlands will not be impacted by our development.</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Page ii and iii of the Phase 1 report state: "We have performed a Phase I Environmental Site Assessment in conformance with the scope and limitations of ASTM Practice E1527-21 of Pinecrest Village, the subject property. Any exceptions to, or deletions from, this practice are described in Section 1.2 of this report. This assessment has revealed no recognized environmental conditions, controlled recognized environmental conditions, or significant data gaps in connection with the subject property.</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Pinecrest Village, LP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The partnership/applicant has site control via a purchase agreement and corresponding assignment.  Please see the Site Control documents in tab 8 (Readiness to Proceed).  The seller and the applicant are not related parties</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Project will have direct access to Andrew Street.  The conceptual site plan shows two entrances into the project from Andrew Street.  See the site plan included in the Readiness to Proceed folder in the application.</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applicant's site is currently zoned R-M (Residential Mixed Family) accoridng to the official zoning map of the City of Douglas.  This designation allows for the construction and operation of multi-family apartment units in accordance with the Code of Ordinances of the City of Douglas.  See the Zoning Letter included in the Readiness to Proceed section of the application.</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4668</v>
      </c>
      <c r="C956" s="2484"/>
      <c r="D956" s="2484"/>
      <c r="E956" s="2484"/>
      <c r="F956" s="2484"/>
      <c r="G956" s="2484"/>
      <c r="H956" s="2484" t="s">
        <v>4669</v>
      </c>
      <c r="I956" s="2484"/>
      <c r="J956" s="2489" t="str">
        <f>'Part VII-Threshold Criteria'!J113</f>
        <v>&lt;&lt;Enter Provider Name Here&gt;&gt;</v>
      </c>
      <c r="K956" s="2489"/>
      <c r="L956" s="2489"/>
      <c r="M956" s="2489"/>
      <c r="N956" s="2489"/>
      <c r="O956" s="2489"/>
      <c r="P956" s="2489"/>
      <c r="Q956" s="2489"/>
    </row>
    <row r="957" spans="1:17" ht="15">
      <c r="A957" s="2774"/>
      <c r="B957" s="2774"/>
      <c r="C957" s="2484"/>
      <c r="D957" s="2484"/>
      <c r="E957" s="2484"/>
      <c r="F957" s="2484"/>
      <c r="G957" s="2484"/>
      <c r="H957" s="2484" t="s">
        <v>4670</v>
      </c>
      <c r="I957" s="2484"/>
      <c r="J957" s="2489" t="str">
        <f>'Part VII-Threshold Criteria'!J114</f>
        <v>City of Douglas</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The City of Douglas will be provide power to the project.  All required documentation is in the Readiness to Proceed section of the application.</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4671</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4672</v>
      </c>
      <c r="C965" s="2484"/>
      <c r="D965" s="2484"/>
      <c r="E965" s="2484"/>
      <c r="F965" s="2484"/>
      <c r="G965" s="2484"/>
      <c r="H965" s="2484" t="s">
        <v>4673</v>
      </c>
      <c r="I965" s="2484"/>
      <c r="J965" s="2489" t="str">
        <f>'Part VII-Threshold Criteria'!J122</f>
        <v>City of Douglas</v>
      </c>
      <c r="K965" s="2489"/>
      <c r="L965" s="2489"/>
      <c r="M965" s="2489"/>
      <c r="N965" s="2489"/>
      <c r="O965" s="2489"/>
      <c r="P965" s="2489"/>
      <c r="Q965" s="2489"/>
    </row>
    <row r="966" spans="1:17" ht="15">
      <c r="A966" s="2484"/>
      <c r="B966" s="2774"/>
      <c r="C966" s="2484"/>
      <c r="D966" s="2484"/>
      <c r="E966" s="2484"/>
      <c r="F966" s="2484"/>
      <c r="G966" s="2484"/>
      <c r="H966" s="2484" t="s">
        <v>4674</v>
      </c>
      <c r="I966" s="2484"/>
      <c r="J966" s="2489" t="str">
        <f>'Part VII-Threshold Criteria'!J123</f>
        <v>City of Douglas</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 xml:space="preserve">Water and sewer services will be provided by City of Douglas.  Please see the Readiness to Proceed section for suppporting documentation. </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4999</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5100</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5">
      <c r="A977" s="2774"/>
      <c r="B977" s="2485"/>
      <c r="C977" s="2485" t="s">
        <v>4611</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f>'Part VII-Threshold Criteria'!C135</f>
        <v>0</v>
      </c>
      <c r="D978" s="2484"/>
      <c r="E978" s="2484"/>
      <c r="F978" s="2484"/>
      <c r="G978" s="2484"/>
      <c r="H978" s="2484"/>
      <c r="I978" s="2484"/>
      <c r="J978" s="2484"/>
      <c r="K978" s="2484"/>
      <c r="L978" s="2484"/>
      <c r="M978" s="2484"/>
      <c r="N978" s="2484"/>
      <c r="O978" s="2484"/>
      <c r="P978" s="2484"/>
      <c r="Q978" s="2484"/>
    </row>
    <row r="979" spans="1:17" ht="15">
      <c r="A979" s="2774"/>
      <c r="B979" s="2485"/>
      <c r="C979" s="2485" t="s">
        <v>3661</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5101</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5102</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f>'Part VII-Threshold Criteria'!J139</f>
        <v>0</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f>'Part VII-Threshold Criteria'!J140</f>
        <v>0</v>
      </c>
      <c r="K983" s="2772"/>
      <c r="L983" s="2772"/>
      <c r="M983" s="2772"/>
      <c r="N983" s="2772"/>
      <c r="O983" s="2772"/>
      <c r="P983" s="2772"/>
      <c r="Q983" s="2772"/>
    </row>
    <row r="984" spans="1:17" ht="14.1" customHeight="1">
      <c r="A984" s="2487"/>
      <c r="B984" s="2785" t="s">
        <v>1613</v>
      </c>
      <c r="C984" s="2772" t="str">
        <f>'Part VII-Threshold Criteria'!C141</f>
        <v xml:space="preserve">Covered pavilion with picnic/BBQ facilities </v>
      </c>
      <c r="D984" s="2772"/>
      <c r="E984" s="2772"/>
      <c r="F984" s="2772"/>
      <c r="G984" s="2772"/>
      <c r="H984" s="2772"/>
      <c r="I984" s="2484"/>
      <c r="J984" s="2772">
        <f>'Part VII-Threshold Criteria'!J141</f>
        <v>0</v>
      </c>
      <c r="K984" s="2772"/>
      <c r="L984" s="2772"/>
      <c r="M984" s="2772"/>
      <c r="N984" s="2772"/>
      <c r="O984" s="2772"/>
      <c r="P984" s="2772"/>
      <c r="Q984" s="2772"/>
    </row>
    <row r="985" spans="1:17" ht="14.1" customHeight="1">
      <c r="A985" s="2487"/>
      <c r="B985" s="2785" t="s">
        <v>2176</v>
      </c>
      <c r="C985" s="2772" t="str">
        <f>'Part VII-Threshold Criteria'!C142</f>
        <v>Equipped playground</v>
      </c>
      <c r="D985" s="2772"/>
      <c r="E985" s="2772"/>
      <c r="F985" s="2772"/>
      <c r="G985" s="2772"/>
      <c r="H985" s="2772"/>
      <c r="I985" s="2484"/>
      <c r="J985" s="2772">
        <f>'Part VII-Threshold Criteria'!J142</f>
        <v>0</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4678</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The proposed project is new construction.  This section is not applicable.</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Conceptual Site Development Plan is in the Readiness to Proceeds folder in the application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5000</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The applicant certifies that all dwelling units will comply with the requirements of the 2024 QAP, XV Building Sustainability and the 2024 Architectural Manual.  The applicant will obtain sustainable building certification from Earth Craft House Multifamily (ECMF).  The applicant will provide the appropriate documentation for this section at Threshold Review.</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4678</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5001</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5019</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5103</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5036</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4679</v>
      </c>
      <c r="M1025" s="2798"/>
      <c r="N1025" s="2486"/>
      <c r="O1025" s="2484"/>
      <c r="P1025" s="2487"/>
      <c r="Q1025" s="2487"/>
    </row>
    <row r="1026" spans="1:17" ht="15">
      <c r="A1026" s="2774" t="s">
        <v>1838</v>
      </c>
      <c r="B1026" s="2773" t="s">
        <v>4794</v>
      </c>
      <c r="C1026" s="2484"/>
      <c r="D1026" s="2799"/>
      <c r="E1026" s="2799"/>
      <c r="F1026" s="2799"/>
      <c r="G1026" s="2799"/>
      <c r="H1026" s="2799"/>
      <c r="I1026" s="2799"/>
      <c r="J1026" s="2799"/>
      <c r="K1026" s="2799"/>
      <c r="L1026" s="2484" t="s">
        <v>4680</v>
      </c>
      <c r="M1026" s="2486" t="s">
        <v>4681</v>
      </c>
      <c r="N1026" s="2799"/>
      <c r="O1026" s="2779"/>
      <c r="P1026" s="2779"/>
      <c r="Q1026" s="2779"/>
    </row>
    <row r="1027" spans="1:17" ht="15">
      <c r="A1027" s="2774"/>
      <c r="B1027" s="2484" t="s">
        <v>4682</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4795</v>
      </c>
      <c r="O1027" s="2779"/>
      <c r="P1027" s="2489">
        <f>'Part VII-Threshold Criteria'!P184</f>
        <v>3</v>
      </c>
      <c r="Q1027" s="2489"/>
    </row>
    <row r="1028" spans="1:17" ht="14.1" customHeight="1">
      <c r="A1028" s="2774"/>
      <c r="B1028" s="2485"/>
      <c r="C1028" s="2484"/>
      <c r="D1028" s="2484" t="s">
        <v>4796</v>
      </c>
      <c r="E1028" s="2484"/>
      <c r="F1028" s="2484"/>
      <c r="G1028" s="2484"/>
      <c r="H1028" s="2484"/>
      <c r="I1028" s="2484"/>
      <c r="J1028" s="2484"/>
      <c r="K1028" s="2800"/>
      <c r="L1028" s="2794">
        <f>ROUNDUP(L1027*M1028,0)</f>
        <v>2</v>
      </c>
      <c r="M1028" s="2795">
        <f>'DCA Underwriting Assumptions'!$Q$148</f>
        <v>0.4</v>
      </c>
      <c r="N1028" s="2787" t="s">
        <v>4797</v>
      </c>
      <c r="O1028" s="2779"/>
      <c r="P1028" s="2489">
        <f>'Part VII-Threshold Criteria'!P185</f>
        <v>2</v>
      </c>
      <c r="Q1028" s="2489"/>
    </row>
    <row r="1029" spans="1:17" ht="14.1" customHeight="1">
      <c r="A1029" s="2774"/>
      <c r="B1029" s="2484" t="s">
        <v>4683</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4795</v>
      </c>
      <c r="O1029" s="2779"/>
      <c r="P1029" s="2489">
        <f>'Part VII-Threshold Criteria'!P186</f>
        <v>1</v>
      </c>
      <c r="Q1029" s="2489"/>
    </row>
    <row r="1030" spans="1:17" ht="15">
      <c r="A1030" s="2774" t="s">
        <v>697</v>
      </c>
      <c r="B1030" s="2773" t="s">
        <v>4798</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4801</v>
      </c>
      <c r="C1031" s="2484"/>
      <c r="D1031" s="2484"/>
      <c r="E1031" s="2484"/>
      <c r="F1031" s="2484"/>
      <c r="G1031" s="2484"/>
      <c r="H1031" s="2484"/>
      <c r="I1031" s="2484"/>
      <c r="J1031" s="2484"/>
      <c r="K1031" s="2484"/>
      <c r="L1031" s="2484"/>
      <c r="M1031" s="2801" t="str">
        <f>'Part VII-Threshold Criteria'!M188</f>
        <v>Terracon</v>
      </c>
      <c r="N1031" s="2801"/>
      <c r="O1031" s="2801"/>
      <c r="P1031" s="2801"/>
      <c r="Q1031" s="2801"/>
    </row>
    <row r="1032" spans="1:17" ht="15">
      <c r="A1032" s="2774"/>
      <c r="B1032" s="2484"/>
      <c r="C1032" s="2484"/>
      <c r="D1032" s="2484" t="s">
        <v>4799</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4800</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The applicant will employ a qualified accessibility consultant and will follow all required accessibility standards.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4678</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5002</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4733</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4734</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4684</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The project will include the designs mentioned above.  The applicant will provide the appropriate documentation for this section at Threshold Review.</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4802</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4792</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4803</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4804</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4805</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4806</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4685</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Max Elbe is the certifying GP/developer and received a "Qualified" determination.  The Project Team has not changed since pre-application.  Please see the Compliance Performance section for documenation as well as the performance workbooks for the members of the Project Team.</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4686</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4808</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4807</v>
      </c>
      <c r="D1071" s="2783"/>
      <c r="E1071" s="2783"/>
      <c r="F1071" s="2485"/>
      <c r="G1071" s="2772" t="s">
        <v>5003</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4809</v>
      </c>
      <c r="D1072" s="2772"/>
      <c r="E1072" s="2772"/>
      <c r="F1072" s="2772"/>
      <c r="G1072" s="2772" t="s">
        <v>5004</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5104</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5105</v>
      </c>
      <c r="C1074" s="2484"/>
      <c r="D1074" s="2484"/>
      <c r="E1074" s="2484"/>
      <c r="F1074" s="2484"/>
      <c r="G1074" s="2484" t="s">
        <v>5106</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5107</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Applicant is not applying under the Preservation Set-Aside.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5005</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Applicant is not applying under the Nonprofit Set-Aside.</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The section is not applicable</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4147</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4814</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4813</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This section is not applicable</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5016</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4690</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The applicant agrees to the above items.</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4815</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4816</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5006</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4817</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5013</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The applicant agrees to the above items.</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4818</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5007</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The applicant agrees to submit at threshold review:
1. Tentant Selection Plan.
2. MOU with referring entit(ies), since the Applicant claimed points under (Scoring) Integrated Supportive Housing in the Competitive Review Application.
The applicant also agree to sign and submit the Federal Guidance for Tenant Selection Affirmation at threshold review.</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4820</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5017</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4821</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The applicant agrees to the items required in this section.</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The applicant believes the project meets all of DCA's rules and guidelines.  The applicant also believes the costs of the project are reasonable.  Therefore, the proposed project should be an optimal utilization of DCA's resources.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Pinecrest Village,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5015</v>
      </c>
      <c r="B1160" s="2804"/>
      <c r="C1160" s="2804"/>
      <c r="D1160" s="2804"/>
      <c r="E1160" s="2804"/>
      <c r="F1160" s="2804"/>
      <c r="G1160" s="2804"/>
      <c r="H1160" s="2804"/>
      <c r="I1160" s="2804"/>
      <c r="J1160" s="2804"/>
      <c r="K1160" s="2804"/>
      <c r="L1160" s="2804"/>
      <c r="M1160" s="2468" t="s">
        <v>4729</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84</v>
      </c>
      <c r="P1163" s="2807">
        <f>P1556</f>
        <v>12</v>
      </c>
      <c r="Q1163" s="1997" t="s">
        <v>4692</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4748</v>
      </c>
      <c r="B1167" s="2028"/>
      <c r="C1167" s="2028"/>
      <c r="D1167" s="2028"/>
      <c r="E1167" s="2809" t="str">
        <f>IF(OR((C1169-A1169&gt;0),(D1169-A1169&gt;0)),"Points Exceed Max!","")</f>
        <v/>
      </c>
      <c r="F1167" s="1997" t="s">
        <v>4712</v>
      </c>
      <c r="G1167" s="1997"/>
      <c r="H1167" s="1997"/>
      <c r="I1167" s="1997"/>
      <c r="J1167" s="1997" t="s">
        <v>4040</v>
      </c>
      <c r="K1167" s="1997"/>
      <c r="L1167" s="1997"/>
      <c r="M1167" s="1997"/>
      <c r="N1167" s="2017"/>
      <c r="O1167" s="1998" t="s">
        <v>4713</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4729</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4605</v>
      </c>
      <c r="I1169" s="1997"/>
      <c r="J1169" s="1997" t="str">
        <f>'Part VIII Scoring Criteria'!J12</f>
        <v>Rural</v>
      </c>
      <c r="K1169" s="1997"/>
      <c r="L1169" s="1997" t="s">
        <v>4606</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4949</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Revitalization/Redevelopment Plans</v>
      </c>
      <c r="D1173" s="1997"/>
      <c r="E1173" s="1997"/>
      <c r="F1173" s="1997"/>
      <c r="G1173" s="1997"/>
      <c r="H1173" s="1997" t="s">
        <v>4950</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5108</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4893</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4951</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4952</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4953</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4954</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5109</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5110</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4956</v>
      </c>
      <c r="D1186" s="2035"/>
      <c r="E1186" s="2035"/>
      <c r="F1186" s="2035"/>
      <c r="G1186" s="2035"/>
      <c r="H1186" s="2035"/>
      <c r="I1186" s="2035"/>
      <c r="J1186" s="2035"/>
      <c r="K1186" s="2035"/>
      <c r="L1186" s="2035"/>
      <c r="M1186" s="2033"/>
      <c r="N1186" s="2820"/>
      <c r="O1186" s="2468" t="str">
        <f>'Part VIII Scoring Criteria'!O29</f>
        <v>No</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4957</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4958</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4959</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4722</v>
      </c>
      <c r="C1195" s="1998"/>
      <c r="D1195" s="2464"/>
      <c r="E1195" s="2464"/>
      <c r="F1195" s="1998"/>
      <c r="G1195" s="1998"/>
      <c r="H1195" s="1998"/>
      <c r="I1195" s="1998"/>
      <c r="J1195" s="2825"/>
      <c r="K1195" s="1998"/>
      <c r="L1195" s="1998"/>
      <c r="M1195" s="2468"/>
      <c r="N1195" s="1998"/>
      <c r="O1195" s="2826" t="s">
        <v>4723</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4586</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4960</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4585</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4854</v>
      </c>
      <c r="D1199" s="1998"/>
      <c r="E1199" s="1998"/>
      <c r="F1199" s="1998"/>
      <c r="G1199" s="1998"/>
      <c r="H1199" s="1998"/>
      <c r="I1199" s="1998"/>
      <c r="J1199" s="1998"/>
      <c r="K1199" s="1998"/>
      <c r="L1199" s="1998"/>
      <c r="M1199" s="1998"/>
      <c r="N1199" s="2466"/>
      <c r="O1199" s="2012" t="str">
        <f>'Part VIII Scoring Criteria'!O42</f>
        <v>TBD</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4961</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4962</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4855</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5111</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commits to engaging QBs in the development or operation of the proposed property in amounts equal to approximately 10%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3257</v>
      </c>
      <c r="C1212" s="2028"/>
      <c r="D1212" s="2036"/>
      <c r="E1212" s="2036"/>
      <c r="F1212" s="1998"/>
      <c r="G1212" s="1998"/>
      <c r="H1212" s="1998"/>
      <c r="I1212" s="2028"/>
      <c r="J1212" s="2830"/>
      <c r="K1212" s="2468"/>
      <c r="L1212" s="2810" t="s">
        <v>4893</v>
      </c>
      <c r="M1212" s="2027">
        <v>5</v>
      </c>
      <c r="N1212" s="2012"/>
      <c r="O1212" s="2807">
        <f>'Part VIII Scoring Criteria'!O55</f>
        <v>1</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1</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4858</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4856</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4703</v>
      </c>
      <c r="C1225" s="1998" t="s">
        <v>4702</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4704</v>
      </c>
      <c r="C1226" s="1998" t="s">
        <v>4724</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4857</v>
      </c>
      <c r="C1227" s="1998" t="s">
        <v>4725</v>
      </c>
      <c r="D1227" s="2028"/>
      <c r="E1227" s="2028"/>
      <c r="F1227" s="2028"/>
      <c r="G1227" s="2028"/>
      <c r="H1227" s="2028"/>
      <c r="I1227" s="2466"/>
      <c r="J1227" s="2834">
        <f>'Part VIII Scoring Criteria'!J70</f>
        <v>492288</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492288</v>
      </c>
      <c r="K1228" s="2834"/>
      <c r="L1228" s="2028"/>
      <c r="M1228" s="2834">
        <f>SUM($M1216:$M1227)</f>
        <v>0</v>
      </c>
      <c r="N1228" s="2834"/>
      <c r="O1228" s="2834"/>
      <c r="P1228" s="2834"/>
      <c r="Q1228" s="2028"/>
      <c r="R1228" s="2028"/>
      <c r="S1228" s="2028"/>
      <c r="T1228" s="2028"/>
      <c r="U1228" s="2028" t="s">
        <v>4730</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4728</v>
      </c>
      <c r="V1229" s="2835" t="s">
        <v>4729</v>
      </c>
      <c r="W1229" s="2835" t="s">
        <v>4728</v>
      </c>
      <c r="X1229" s="2835" t="s">
        <v>4729</v>
      </c>
      <c r="Y1229" s="2835" t="s">
        <v>4728</v>
      </c>
      <c r="Z1229" s="2835" t="s">
        <v>4729</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4132</v>
      </c>
      <c r="J1230" s="2834">
        <f>'Part VIII Scoring Criteria'!J73</f>
        <v>48</v>
      </c>
      <c r="K1230" s="2834"/>
      <c r="L1230" s="1997"/>
      <c r="M1230" s="1997"/>
      <c r="N1230" s="1997"/>
      <c r="O1230" s="2028"/>
      <c r="P1230" s="1997"/>
      <c r="Q1230" s="2028"/>
      <c r="R1230" s="2836" t="s">
        <v>4726</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4133</v>
      </c>
      <c r="J1231" s="2839">
        <f>'Part VIII Scoring Criteria'!J74</f>
        <v>10256</v>
      </c>
      <c r="K1231" s="2839"/>
      <c r="L1231" s="2028"/>
      <c r="M1231" s="2839">
        <f>IF(J1230=0,0,M1228/J1230)</f>
        <v>0</v>
      </c>
      <c r="N1231" s="2839"/>
      <c r="O1231" s="2839"/>
      <c r="P1231" s="2839"/>
      <c r="Q1231" s="2028"/>
      <c r="R1231" s="2836" t="s">
        <v>4727</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4705</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4859</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4134</v>
      </c>
      <c r="J1233" s="2840">
        <f>'Part VIII Scoring Criteria'!J76</f>
        <v>1</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4860</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4861</v>
      </c>
      <c r="C1235" s="2028"/>
      <c r="D1235" s="1998"/>
      <c r="E1235" s="2028"/>
      <c r="F1235" s="2841" t="s">
        <v>4865</v>
      </c>
      <c r="G1235" s="2028"/>
      <c r="H1235" s="2028"/>
      <c r="I1235" s="2028"/>
      <c r="J1235" s="2028"/>
      <c r="K1235" s="1998"/>
      <c r="L1235" s="2842" t="s">
        <v>4864</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4862</v>
      </c>
      <c r="D1236" s="1998"/>
      <c r="E1236" s="1998"/>
      <c r="F1236" s="2843" t="s">
        <v>4863</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4961</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4706</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5111</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The applicant has secured a loan of Capital Magnet Funds from a certified CDFI lender, Atlanta Neighborhood Development Partnership, Inc.  The loan meets all of the pre-requisites above and the size of the loan enables the applicant to score 1 point in this section.</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3906</v>
      </c>
      <c r="C1246" s="1998"/>
      <c r="D1246" s="2464"/>
      <c r="E1246" s="2464"/>
      <c r="F1246" s="1998"/>
      <c r="G1246" s="1998"/>
      <c r="H1246" s="1998"/>
      <c r="I1246" s="1998"/>
      <c r="J1246" s="1998"/>
      <c r="K1246" s="2812"/>
      <c r="L1246" s="2810" t="s">
        <v>4893</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4743</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4938</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4939</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4744</v>
      </c>
      <c r="C1252" s="1998"/>
      <c r="D1252" s="2464"/>
      <c r="E1252" s="2464"/>
      <c r="F1252" s="1998"/>
      <c r="G1252" s="1998"/>
      <c r="H1252" s="1998"/>
      <c r="I1252" s="1998"/>
      <c r="J1252" s="1998"/>
      <c r="K1252" s="1998"/>
      <c r="L1252" s="2812"/>
      <c r="M1252" s="2468"/>
      <c r="N1252" s="2012"/>
      <c r="O1252" s="2027">
        <f>'Part VIII Scoring Criteria'!O95</f>
        <v>3</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4499</v>
      </c>
      <c r="C1257" s="2035"/>
      <c r="D1257" s="2035"/>
      <c r="E1257" s="2035"/>
      <c r="F1257" s="2035"/>
      <c r="G1257" s="2809" t="s">
        <v>4870</v>
      </c>
      <c r="H1257" s="2035"/>
      <c r="I1257" s="2028"/>
      <c r="J1257" s="2028"/>
      <c r="K1257" s="2035"/>
      <c r="L1257" s="2810" t="s">
        <v>4893</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4867</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5022</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4868</v>
      </c>
      <c r="D1260" s="1998"/>
      <c r="E1260" s="1998"/>
      <c r="F1260" s="1998"/>
      <c r="G1260" s="1998"/>
      <c r="H1260" s="1998"/>
      <c r="I1260" s="1998"/>
      <c r="J1260" s="2850" t="s">
        <v>4679</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4869</v>
      </c>
      <c r="D1261" s="1998"/>
      <c r="E1261" s="1998"/>
      <c r="F1261" s="1998"/>
      <c r="G1261" s="1998"/>
      <c r="H1261" s="1998"/>
      <c r="I1261" s="2034"/>
      <c r="J1261" s="2851" t="s">
        <v>4680</v>
      </c>
      <c r="K1261" s="2033" t="s">
        <v>4681</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5021</v>
      </c>
      <c r="C1262" s="2028"/>
      <c r="D1262" s="2028"/>
      <c r="E1262" s="2028"/>
      <c r="F1262" s="2028"/>
      <c r="G1262" s="2028"/>
      <c r="H1262" s="2810"/>
      <c r="I1262" s="2028"/>
      <c r="J1262" s="2030">
        <f>'Part VIII Scoring Criteria'!J105</f>
        <v>4.8000000000000007</v>
      </c>
      <c r="K1262" s="2851">
        <v>0.1</v>
      </c>
      <c r="L1262" s="2028"/>
      <c r="M1262" s="2810" t="s">
        <v>5039</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5112</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4866</v>
      </c>
      <c r="C1265" s="1998"/>
      <c r="D1265" s="1998"/>
      <c r="E1265" s="1998"/>
      <c r="F1265" s="1998"/>
      <c r="G1265" s="2852" t="s">
        <v>4871</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5111</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The proposed development will reserve a percentage of units to prioritize referrals from DCA-approved entities that serve the area as determined by an MOU that must be executed following selection under the Competitive Round.
The following requirements must be met:
• The percentage of reserved units must be at least 10%.
• The number of units that are accessible and adaptable, as defined by the Fair Housing Amendments Act of 1988, must be at least as many as the number of units reserved for referrals.
• The Applicant agrees to the requirements and procedures outlined in Exhibit B to Scoring Criteria (“Supportive Housing Referral Commitments”).
The Applicant agrees to hold units vacant such that the referring entit(ies) have at least ninety days at initial occupancy and forty-five days at turnover to refer tenants to vacant units, up to the agreed-upon percentage.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4845</v>
      </c>
      <c r="C1274" s="1998"/>
      <c r="D1274" s="2464"/>
      <c r="E1274" s="2464"/>
      <c r="F1274" s="1998"/>
      <c r="G1274" s="1998"/>
      <c r="H1274" s="1998"/>
      <c r="I1274" s="1998"/>
      <c r="J1274" s="1998"/>
      <c r="K1274" s="1998"/>
      <c r="L1274" s="2810" t="s">
        <v>4893</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4888</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4965</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4969</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4963</v>
      </c>
      <c r="D1278" s="1998"/>
      <c r="E1278" s="1998"/>
      <c r="F1278" s="2468"/>
      <c r="G1278" s="1998"/>
      <c r="H1278" s="1998"/>
      <c r="I1278" s="2468"/>
      <c r="J1278" s="2012" t="s">
        <v>4964</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4966</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4967</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4890</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4891</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4968</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5010</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5011</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4970</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4971</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4892</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4972</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4889</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N/A - This applies to 4% deals only.</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5111</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The applicant has submitted all minimum threshold documentation for the items in A above with the exception of a Physical Needs Assessment.  The applicant is New Construction which makes that document "N/A".  Per the 2024 QAP, the the Applicant will receive a point for documents that are not applicable.</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3063</v>
      </c>
      <c r="C1298" s="1998"/>
      <c r="D1298" s="1998"/>
      <c r="E1298" s="1998"/>
      <c r="F1298" s="1998"/>
      <c r="G1298" s="1997"/>
      <c r="H1298" s="1998"/>
      <c r="I1298" s="1997"/>
      <c r="J1298" s="2468"/>
      <c r="K1298" s="2857" t="s">
        <v>4940</v>
      </c>
      <c r="L1298" s="2810" t="s">
        <v>4893</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4708</v>
      </c>
      <c r="C1300" s="1998"/>
      <c r="D1300" s="1998"/>
      <c r="E1300" s="1998"/>
      <c r="F1300" s="1998"/>
      <c r="G1300" s="2861"/>
      <c r="H1300" s="2028" t="s">
        <v>4540</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3688</v>
      </c>
      <c r="D1301" s="1998"/>
      <c r="E1301" s="1998"/>
      <c r="F1301" s="1998"/>
      <c r="G1301" s="1998"/>
      <c r="H1301" s="1998" t="s">
        <v>3689</v>
      </c>
      <c r="I1301" s="1998"/>
      <c r="J1301" s="1998"/>
      <c r="K1301" s="2864">
        <f>'Part V-Revenues &amp; Expenses'!$B$50</f>
        <v>57.916666666666664</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4711</v>
      </c>
      <c r="C1304" s="2028"/>
      <c r="D1304" s="2028"/>
      <c r="E1304" s="2028"/>
      <c r="F1304" s="2028"/>
      <c r="G1304" s="2028"/>
      <c r="H1304" s="2029" t="s">
        <v>4693</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4846</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4973</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5111</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Upon receiving Certificates of Occupancy:
• The Applicant commits to register to be a participating landlord with the local Housing Choice Voucher (HCV) administrator
• If the local PHA is not the HCV administrator for the area, Applicant further commits to inform the local PHA of the opportunity to refer eligible households on the PHA waiting lists to the property
Evidence of the above registration and written communications must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3278</v>
      </c>
      <c r="C1317" s="2028"/>
      <c r="D1317" s="2028"/>
      <c r="E1317" s="2028"/>
      <c r="F1317" s="2028"/>
      <c r="G1317" s="2028"/>
      <c r="H1317" s="2028"/>
      <c r="I1317" s="2028"/>
      <c r="J1317" s="2028"/>
      <c r="K1317" s="2028"/>
      <c r="L1317" s="2810" t="s">
        <v>4893</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5111</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applicant has submitted 17 desirable activities which should qualifies the project for 28 desirable points.  However, the applicant is limited to only 20 points.  
The applicant is unaware of any undesirable/inefficient site activities/characteristics within .25 miles of the project site.  See the Desirable and Undesirable Folder in the application.
The project site does not fall within a food desert per USDA's website.  The nearest grocery store is located 0.90 miles from the project site.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4893</v>
      </c>
      <c r="M1326" s="2468">
        <v>6</v>
      </c>
      <c r="N1326" s="2466"/>
      <c r="O1326" s="2807">
        <f>'Part VIII Scoring Criteria'!O169</f>
        <v>2</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4694</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4695</v>
      </c>
      <c r="D1329" s="2028"/>
      <c r="E1329" s="2028"/>
      <c r="F1329" s="1998">
        <f>'Part VIII Scoring Criteria'!F172</f>
        <v>31.518917999999999</v>
      </c>
      <c r="G1329" s="1998"/>
      <c r="H1329" s="1998"/>
      <c r="I1329" s="1998"/>
      <c r="J1329" s="1998">
        <f>'Part VIII Scoring Criteria'!J172</f>
        <v>-82.855929000000003</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4696</v>
      </c>
      <c r="D1330" s="2028"/>
      <c r="E1330" s="2028"/>
      <c r="F1330" s="1998">
        <f>'Part VIII Scoring Criteria'!F173</f>
        <v>31.518917999999999</v>
      </c>
      <c r="G1330" s="1998"/>
      <c r="H1330" s="1998"/>
      <c r="I1330" s="1998"/>
      <c r="J1330" s="1998">
        <f>'Part VIII Scoring Criteria'!J173</f>
        <v>-82.855929000000003</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4717</v>
      </c>
      <c r="C1331" s="2028"/>
      <c r="D1331" s="2028"/>
      <c r="E1331" s="2028"/>
      <c r="F1331" s="2017" t="s">
        <v>4697</v>
      </c>
      <c r="G1331" s="1998" t="s">
        <v>1667</v>
      </c>
      <c r="H1331" s="1998"/>
      <c r="I1331" s="1998"/>
      <c r="J1331" s="1998" t="s">
        <v>4714</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Southern Georgia Regional Commission</v>
      </c>
      <c r="C1332" s="1998"/>
      <c r="D1332" s="1998"/>
      <c r="E1332" s="1998"/>
      <c r="F1332" s="2874" t="str">
        <f>'Part VIII Scoring Criteria'!F175</f>
        <v>229-333-5277</v>
      </c>
      <c r="G1332" s="1998" t="str">
        <f>'Part VIII Scoring Criteria'!G175</f>
        <v>transit@sgrc.us</v>
      </c>
      <c r="H1332" s="1998"/>
      <c r="I1332" s="1998"/>
      <c r="J1332" s="1998" t="str">
        <f>'Part VIII Scoring Criteria'!J175</f>
        <v>https://www.sgrc.us/public-transit-services.html</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3152</v>
      </c>
      <c r="C1334" s="2028"/>
      <c r="D1334" s="2028"/>
      <c r="E1334" s="2028"/>
      <c r="F1334" s="2464"/>
      <c r="G1334" s="2028"/>
      <c r="H1334" s="2028"/>
      <c r="I1334" s="2028"/>
      <c r="J1334" s="2028"/>
      <c r="K1334" s="2028"/>
      <c r="L1334" s="2842" t="s">
        <v>4864</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5113</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4564</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5114</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5115</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4565</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5116</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5117</v>
      </c>
      <c r="D1340" s="2034"/>
      <c r="E1340" s="2034"/>
      <c r="F1340" s="2034"/>
      <c r="G1340" s="2034"/>
      <c r="H1340" s="2034"/>
      <c r="I1340" s="2034"/>
      <c r="J1340" s="2034"/>
      <c r="K1340" s="2034"/>
      <c r="L1340" s="2812" t="str">
        <f t="shared" si="425"/>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5111</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Southern Georgia Regional Commission provides on-call curb-to-curb transportation services for Coffee County.  The services are publicized to the general public via website and/or published brochure.  The services are available to all residents at the Applicant's proposed site.   The service provides door to door transit. 
Details of the services are as follows:
1. SGRC Public Transit is a publicly operated transit service that provides on call transportation to all members of the general public inside Coffee County, Georgia.
2. The cost of transit service is $3.00 for the first ten miles and 50 cent per mile after ten miles.
3. If an apartment complex is located in Coffee County, SGRC Public Transit would be able to provide transit services to and from that apartment complex if the residents schedule transport.
4. To obtain service, a potential rider should call SGRC Public Transit at least 24 hours in advance. The number to order transit service is: 855-360-7475.
Additional information can be obtained by contacting the Southern Georgia Regional Commission at (229) 333-5277, by email at transit@sgrc.us or by accessing the following link to the website: https://www.sgrc.us/public-transit-services.html
See the Community Transportation Options folder for further details.</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4049</v>
      </c>
      <c r="C1347" s="2035"/>
      <c r="D1347" s="2035"/>
      <c r="E1347" s="2035"/>
      <c r="F1347" s="2028"/>
      <c r="G1347" s="2468"/>
      <c r="H1347" s="2814"/>
      <c r="I1347" s="2028"/>
      <c r="J1347" s="2028"/>
      <c r="K1347" s="2028"/>
      <c r="L1347" s="2810" t="s">
        <v>4893</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5118</v>
      </c>
      <c r="G1348" s="2826"/>
      <c r="H1348" s="2826" t="s">
        <v>5119</v>
      </c>
      <c r="I1348" s="2826"/>
      <c r="J1348" s="2826" t="s">
        <v>5120</v>
      </c>
      <c r="K1348" s="2881"/>
      <c r="L1348" s="2826" t="s">
        <v>4718</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Westside Elementary School</v>
      </c>
      <c r="C1351" s="1998"/>
      <c r="D1351" s="1998"/>
      <c r="E1351" s="1998"/>
      <c r="F1351" s="1998" t="str">
        <f>'Part VIII Scoring Criteria'!F194</f>
        <v>No</v>
      </c>
      <c r="G1351" s="1998"/>
      <c r="H1351" s="1998" t="str">
        <f>'Part VIII Scoring Criteria'!H194</f>
        <v>Yes</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Coffee County Middle School</v>
      </c>
      <c r="C1352" s="1998"/>
      <c r="D1352" s="1998"/>
      <c r="E1352" s="1998"/>
      <c r="F1352" s="1998" t="str">
        <f>'Part VIII Scoring Criteria'!F195</f>
        <v>No</v>
      </c>
      <c r="G1352" s="1998"/>
      <c r="H1352" s="1998" t="str">
        <f>'Part VIII Scoring Criteria'!H195</f>
        <v>Yes</v>
      </c>
      <c r="I1352" s="1998"/>
      <c r="J1352" s="1998" t="str">
        <f>'Part VIII Scoring Criteria'!J195</f>
        <v>Yes</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Coffee County High School</v>
      </c>
      <c r="C1353" s="1998"/>
      <c r="D1353" s="1998"/>
      <c r="E1353" s="1998"/>
      <c r="F1353" s="1998" t="str">
        <f>'Part VIII Scoring Criteria'!F196</f>
        <v>No</v>
      </c>
      <c r="G1353" s="1998"/>
      <c r="H1353" s="1998" t="str">
        <f>'Part VIII Scoring Criteria'!H196</f>
        <v>No</v>
      </c>
      <c r="I1353" s="1998"/>
      <c r="J1353" s="1998" t="str">
        <f>'Part VIII Scoring Criteria'!J196</f>
        <v>Yes</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5111</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The QAP allows applicants to claim points for schools under one of the three options available, A, B or C.
Option A – No schools in Coffee County score under Option A.
Option B – Only two of the Coffee County schools received a Beating the Odds designation (“BTO”) in 2018 or later and are eligible to claim points under Option B.
     -Westside Elementary School (serves grades Pre-K-5) – received 2018 BTO
     -Coffee County Middle School (serves grades 6-8) – received 2019 BTO
Option C – Per the Option C Scoring Data Sheet published by DCA, the following schools meet the criteria to claim points under Option C:
1. Coffee County Middle School (serves grades 6-8) 
2. Coffee County High School (serves grades 9-12) 
Coffee County Schools only maintain a district map for elementary schools in the county.  Therefore, the Applicant included the elementary school district map and also obtained a letter from a school district representative evidencing that the proposed site is within the school district boundaries indicated in the chart above.  This letter includes the project location.  
None of the schools above conduct student admission on a selective basis. 
Pinecrest Village will serve a family tenancy and all four schools collectively serve grades K-12 and meet the criteria for points under at least one of the three options available in this section.  The applicant qualifies for 3 points in this section.  All supporting documentation is included in Quality Education Areas folder in the application.</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3250</v>
      </c>
      <c r="C1363" s="1998"/>
      <c r="D1363" s="2464"/>
      <c r="E1363" s="2464"/>
      <c r="F1363" s="1998"/>
      <c r="G1363" s="1998"/>
      <c r="H1363" s="1998"/>
      <c r="I1363" s="1998"/>
      <c r="J1363" s="1998"/>
      <c r="K1363" s="2842"/>
      <c r="L1363" s="2810" t="s">
        <v>4893</v>
      </c>
      <c r="M1363" s="2468">
        <v>10</v>
      </c>
      <c r="N1363" s="2012"/>
      <c r="O1363" s="2807">
        <f>'Part VIII Scoring Criteria'!O206</f>
        <v>10</v>
      </c>
      <c r="P1363" s="2807">
        <f>'Part VIII Scoring Criteria'!P206</f>
        <v>0</v>
      </c>
      <c r="Q1363" s="2468" t="s">
        <v>415</v>
      </c>
      <c r="R1363" s="2884" t="s">
        <v>4996</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5018</v>
      </c>
      <c r="G1364" s="1998"/>
      <c r="H1364" s="1998"/>
      <c r="I1364" s="1998"/>
      <c r="J1364" s="1998"/>
      <c r="K1364" s="1998"/>
      <c r="L1364" s="2471"/>
      <c r="M1364" s="2468"/>
      <c r="N1364" s="2012"/>
      <c r="O1364" s="2027">
        <f>'Part VIII Scoring Criteria'!O207</f>
        <v>22</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5121</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4894</v>
      </c>
      <c r="D1366" s="2034"/>
      <c r="E1366" s="2034"/>
      <c r="F1366" s="2034"/>
      <c r="G1366" s="2034"/>
      <c r="H1366" s="2034"/>
      <c r="I1366" s="2034"/>
      <c r="J1366" s="2034"/>
      <c r="K1366" s="2034"/>
      <c r="L1366" s="2820"/>
      <c r="M1366" s="2028"/>
      <c r="N1366" s="2882">
        <f>'Part VIII Scoring Criteria'!N209</f>
        <v>8</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4700</v>
      </c>
      <c r="D1367" s="1998"/>
      <c r="E1367" s="1998"/>
      <c r="F1367" s="1998"/>
      <c r="G1367" s="1998"/>
      <c r="H1367" s="1998"/>
      <c r="I1367" s="1998"/>
      <c r="J1367" s="1998"/>
      <c r="K1367" s="1998"/>
      <c r="L1367" s="2466"/>
      <c r="M1367" s="1998"/>
      <c r="N1367" s="2882" t="str">
        <f>'Part VIII Scoring Criteria'!N210</f>
        <v>5,6,29,31,34</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4895</v>
      </c>
      <c r="D1368" s="1998"/>
      <c r="E1368" s="1998"/>
      <c r="F1368" s="1998"/>
      <c r="G1368" s="1998"/>
      <c r="H1368" s="1998"/>
      <c r="I1368" s="1998"/>
      <c r="J1368" s="1998"/>
      <c r="K1368" s="1998"/>
      <c r="L1368" s="2466"/>
      <c r="M1368" s="1998"/>
      <c r="N1368" s="2882">
        <f>'Part VIII Scoring Criteria'!N211</f>
        <v>55</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4073</v>
      </c>
      <c r="C1369" s="1998"/>
      <c r="D1369" s="1998"/>
      <c r="E1369" s="1998"/>
      <c r="F1369" s="1998"/>
      <c r="G1369" s="1998"/>
      <c r="H1369" s="1998"/>
      <c r="I1369" s="1998"/>
      <c r="J1369" s="1998"/>
      <c r="K1369" s="1998"/>
      <c r="L1369" s="2842" t="s">
        <v>4893</v>
      </c>
      <c r="M1369" s="2012">
        <v>6</v>
      </c>
      <c r="N1369" s="2466"/>
      <c r="O1369" s="2027">
        <f>'Part VIII Scoring Criteria'!O212</f>
        <v>5</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4896</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5122</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4974</v>
      </c>
      <c r="C1372" s="2028"/>
      <c r="D1372" s="2034"/>
      <c r="E1372" s="2034"/>
      <c r="F1372" s="2034"/>
      <c r="G1372" s="2034"/>
      <c r="H1372" s="2034"/>
      <c r="I1372" s="2034"/>
      <c r="J1372" s="2028"/>
      <c r="K1372" s="2012"/>
      <c r="L1372" s="2842" t="s">
        <v>4893</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4975</v>
      </c>
      <c r="D1373" s="2035"/>
      <c r="E1373" s="2035"/>
      <c r="F1373" s="2035"/>
      <c r="G1373" s="2035"/>
      <c r="H1373" s="2035"/>
      <c r="I1373" s="2035"/>
      <c r="J1373" s="2035"/>
      <c r="K1373" s="2035"/>
      <c r="L1373" s="2035"/>
      <c r="M1373" s="2012">
        <v>3</v>
      </c>
      <c r="N1373" s="2033"/>
      <c r="O1373" s="2027">
        <f>'Part VIII Scoring Criteria'!O216</f>
        <v>3</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4898</v>
      </c>
      <c r="E1374" s="2034"/>
      <c r="F1374" s="2034"/>
      <c r="G1374" s="2034"/>
      <c r="H1374" s="2034"/>
      <c r="I1374" s="2034"/>
      <c r="J1374" s="2034"/>
      <c r="K1374" s="2034"/>
      <c r="L1374" s="2034"/>
      <c r="M1374" s="2033"/>
      <c r="N1374" s="2820"/>
      <c r="O1374" s="2027" t="str">
        <f>'Part VIII Scoring Criteria'!O217</f>
        <v>Yes</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4899</v>
      </c>
      <c r="E1375" s="2034"/>
      <c r="F1375" s="2034"/>
      <c r="G1375" s="2034"/>
      <c r="H1375" s="2034"/>
      <c r="I1375" s="2034"/>
      <c r="J1375" s="2034"/>
      <c r="K1375" s="2034"/>
      <c r="L1375" s="2034"/>
      <c r="M1375" s="2033"/>
      <c r="N1375" s="2820"/>
      <c r="O1375" s="2027" t="str">
        <f>'Part VIII Scoring Criteria'!O218</f>
        <v>Yes</v>
      </c>
      <c r="P1375" s="2855"/>
      <c r="Q1375" s="2811" t="str">
        <f>IF(OR($O1375=$M1375,$O1375=0,$O1375=""),"","*CHECK!*")</f>
        <v>*CHECK!*</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4900</v>
      </c>
      <c r="E1376" s="2034"/>
      <c r="F1376" s="2034"/>
      <c r="G1376" s="2034"/>
      <c r="H1376" s="2034"/>
      <c r="I1376" s="2034"/>
      <c r="J1376" s="2034"/>
      <c r="K1376" s="2034"/>
      <c r="L1376" s="2034"/>
      <c r="M1376" s="2033"/>
      <c r="N1376" s="2820"/>
      <c r="O1376" s="2027" t="str">
        <f>'Part VIII Scoring Criteria'!O219</f>
        <v>Yes</v>
      </c>
      <c r="P1376" s="2855"/>
      <c r="Q1376" s="2811" t="str">
        <f>IF(OR($O1376=$M1376,$O1376=0,$O1376=""),"","*CHECK!*")</f>
        <v>*CHECK!*</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4902</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5012</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3306</v>
      </c>
      <c r="C1379" s="2035"/>
      <c r="D1379" s="2035"/>
      <c r="E1379" s="2035"/>
      <c r="F1379" s="2035"/>
      <c r="G1379" s="2035"/>
      <c r="H1379" s="2035"/>
      <c r="I1379" s="2035"/>
      <c r="J1379" s="2035"/>
      <c r="K1379" s="2035"/>
      <c r="L1379" s="2842" t="s">
        <v>4893</v>
      </c>
      <c r="M1379" s="2468">
        <v>3</v>
      </c>
      <c r="N1379" s="2033"/>
      <c r="O1379" s="2027">
        <f>'Part VIII Scoring Criteria'!O222</f>
        <v>3</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4976</v>
      </c>
      <c r="C1380" s="2035"/>
      <c r="D1380" s="2035"/>
      <c r="E1380" s="2035"/>
      <c r="F1380" s="2035"/>
      <c r="G1380" s="2035"/>
      <c r="H1380" s="2035"/>
      <c r="I1380" s="2035"/>
      <c r="J1380" s="2035"/>
      <c r="K1380" s="2035"/>
      <c r="L1380" s="2842"/>
      <c r="M1380" s="2468"/>
      <c r="N1380" s="2033"/>
      <c r="O1380" s="2855" t="str">
        <f>'Part VIII Scoring Criteria'!O223</f>
        <v>Yes</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4903</v>
      </c>
      <c r="D1381" s="2035"/>
      <c r="E1381" s="2035"/>
      <c r="F1381" s="2035"/>
      <c r="G1381" s="2035"/>
      <c r="H1381" s="2035"/>
      <c r="I1381" s="2028"/>
      <c r="J1381" s="2028"/>
      <c r="K1381" s="2028"/>
      <c r="L1381" s="2842" t="s">
        <v>4893</v>
      </c>
      <c r="M1381" s="2012">
        <v>3</v>
      </c>
      <c r="N1381" s="2033"/>
      <c r="O1381" s="2027">
        <f>'Part VIII Scoring Criteria'!O224</f>
        <v>3</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4977</v>
      </c>
      <c r="D1382" s="2028"/>
      <c r="E1382" s="2028"/>
      <c r="F1382" s="2028"/>
      <c r="G1382" s="2028"/>
      <c r="H1382" s="2028"/>
      <c r="I1382" s="2028"/>
      <c r="J1382" s="2028"/>
      <c r="K1382" s="2028"/>
      <c r="L1382" s="2812" t="str">
        <f>IF(OR($O1382=$M1382,$O1382=0,$O1382=""),"","* * Check Score! * *")</f>
        <v/>
      </c>
      <c r="M1382" s="2017">
        <v>1</v>
      </c>
      <c r="N1382" s="2017"/>
      <c r="O1382" s="2027">
        <f>'Part VIII Scoring Criteria'!O225</f>
        <v>1</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4904</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1</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4978</v>
      </c>
      <c r="D1384" s="2028"/>
      <c r="E1384" s="2028"/>
      <c r="F1384" s="2028"/>
      <c r="G1384" s="2028"/>
      <c r="H1384" s="2028"/>
      <c r="I1384" s="2028"/>
      <c r="J1384" s="2028"/>
      <c r="K1384" s="2028"/>
      <c r="L1384" s="2812"/>
      <c r="M1384" s="2017">
        <v>1</v>
      </c>
      <c r="N1384" s="2017"/>
      <c r="O1384" s="2027">
        <f>'Part VIII Scoring Criteria'!O227</f>
        <v>1</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4905</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2</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4852</v>
      </c>
      <c r="C1386" s="2028"/>
      <c r="D1386" s="1998"/>
      <c r="E1386" s="2028"/>
      <c r="F1386" s="2887"/>
      <c r="G1386" s="2028"/>
      <c r="H1386" s="2028"/>
      <c r="I1386" s="2028"/>
      <c r="J1386" s="2028"/>
      <c r="K1386" s="2471"/>
      <c r="L1386" s="2842" t="s">
        <v>4893</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3697</v>
      </c>
      <c r="D1387" s="2035"/>
      <c r="E1387" s="2035"/>
      <c r="F1387" s="2035"/>
      <c r="G1387" s="2035"/>
      <c r="H1387" s="2035"/>
      <c r="I1387" s="2035"/>
      <c r="J1387" s="2035"/>
      <c r="K1387" s="2035"/>
      <c r="L1387" s="2842" t="s">
        <v>4893</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4906</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5111</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 xml:space="preserve">SECTION A
Pinecrest Village is located within the boundaries of the City of Douglas, Georgia Urban Revitalization Plan (“URP”).  The URP meets the requirements below that are required by the QAP to be considered a URP:
(1) The URP clearly delineates a Targeted Area that includes the proposed site within the City of Douglas. (2) The URP discusses housing as a goal of the URP. (3) The URP was adopted by the City of Douglas on December 14, 2020 which is less than ten (10) years from the Application Submission date. (4)The submitted URP was adopted by a local government that has all three designations above: PlanFirst, Revitalization Area Strategy and Rural Zone. (5)The URP includes an assessment of the Targeted Area’s existing infrastructure and the URP designates implementation measures.(6)The Applicant's site is not located in a QCT.
Based on the above, the Applicant scores 5 points in Section A.
SECTION B
The applicant and Helping Hands Ending Hunger have agreed to serve as the Community Based Developer and has the following Community Partnerships.  1. Outdoor Network  2. Ardurra 3. Dougherty County School System  4. Georgia's Own Credit Union 5. Second Harvest of South Georgia 6. Chattanooga Area Food Bank. 7. Northwest Georgia Regional Cancer Coalition.  The combined number of years as community partners exceeds 38 years.
 The proposed development is within a Defined Neighborhood as defined in the QAP.  A map of the Defined Neighborhood is included with the Community Transformation Certificate and is the same as the targeted area in the URP from Section A above.
 The Community Quarterback Board has and the applicant has included letters and signatures from the following people:
1.  At least one-third must be residents of the Defined Neighborhood who self-certify their income at less than 80% of AMI, other individuals who self-certify their income at less than 80% of AMI, or elected representatives of neighborhood organizations serving the Defined Neighborhood: a)Kevin Davis b) Michael H Lott
2.  At least one third include 3 of 5 following representatives: a) Education - Morris Leis, School Superintendent Coffee County Schools b) Employment - None at this time
c) Health services-Ben Floyd, Hospital Administrator Coffee Regional Medical Center d) Transportation services-None at this time e) Local Government-Christian Burkett, City of Douglas and member of City of Douglas GICH team.
 The applicant has also included a letter from the GICH supporting the Community Quarterback Board.
 The applicant qualifies for 3 points in Section B
Section C
 Third Party Capital Investment - The Applicant has over $9 million of costs within a one-mile radius.  This equates to over $187,000 per unit in costs which qualifies for 2 points
 Financials Commitment - The local government’s financial commitment of $8,354,380.34 qualifies Pinecrest Village for one (1) additional revitalization point because the financial commitment advances the goals of the CRP and the total amounts are eligible for at least one point under Third-Party Capital Investments.
Please see all supporting documentation in the Revitalization/Redevelopment Plan folder.
</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4996</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5018</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4907</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4979</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5123</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4981</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4911</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4982</v>
      </c>
      <c r="C1402" s="2028"/>
      <c r="D1402" s="2833"/>
      <c r="E1402" s="2833" t="s">
        <v>4983</v>
      </c>
      <c r="F1402" s="2833"/>
      <c r="G1402" s="2833"/>
      <c r="H1402" s="2890" t="s">
        <v>4721</v>
      </c>
      <c r="I1402" s="2833" t="s">
        <v>5124</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4985</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4987</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4988</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4989</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4112</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5111</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This applicant is not scoing points in this section.</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4996</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5111</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This applicant is not scoing points in this section.</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3907</v>
      </c>
      <c r="C1423" s="2028"/>
      <c r="D1423" s="2028"/>
      <c r="E1423" s="2814" t="str">
        <f>IF(AND(O1423&gt;0,NOT($F$12="New Affordability"),NOT($O$12="9%")), "Ineligible, not New Affordability and 9%!","")</f>
        <v/>
      </c>
      <c r="F1423" s="2028"/>
      <c r="G1423" s="2826">
        <f>$O$12</f>
        <v>0</v>
      </c>
      <c r="H1423" s="2841">
        <f>$J$12</f>
        <v>0</v>
      </c>
      <c r="I1423" s="2028"/>
      <c r="J1423" s="2028"/>
      <c r="K1423" s="2028"/>
      <c r="L1423" s="2810" t="s">
        <v>4893</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4153</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4701</v>
      </c>
      <c r="H1425" s="2028" t="s">
        <v>573</v>
      </c>
      <c r="I1425" s="2028"/>
      <c r="J1425" s="2028"/>
      <c r="K1425" s="2028" t="s">
        <v>4739</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4154</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5111</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The applicant is not scoring points in this section.</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4893</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4915</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4916</v>
      </c>
      <c r="C1437" s="1998"/>
      <c r="D1437" s="1998"/>
      <c r="E1437" s="1998"/>
      <c r="F1437" s="1998"/>
      <c r="G1437" s="1998"/>
      <c r="H1437" s="1998"/>
      <c r="I1437" s="1998"/>
      <c r="J1437" s="1998"/>
      <c r="K1437" s="1998"/>
      <c r="L1437" s="2842" t="s">
        <v>4893</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4990</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4991</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4917</v>
      </c>
      <c r="C1440" s="1998"/>
      <c r="D1440" s="1998"/>
      <c r="E1440" s="1998"/>
      <c r="F1440" s="1998"/>
      <c r="G1440" s="1998"/>
      <c r="H1440" s="1998"/>
      <c r="I1440" s="1998"/>
      <c r="J1440" s="1998"/>
      <c r="K1440" s="1998"/>
      <c r="L1440" s="2842" t="s">
        <v>4893</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4919</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4922</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4918</v>
      </c>
      <c r="C1443" s="2028"/>
      <c r="D1443" s="2028"/>
      <c r="E1443" s="2028"/>
      <c r="F1443" s="2028"/>
      <c r="G1443" s="2031"/>
      <c r="H1443" s="2028"/>
      <c r="I1443" s="2811"/>
      <c r="J1443" s="2028"/>
      <c r="K1443" s="2028"/>
      <c r="L1443" s="2842" t="s">
        <v>4893</v>
      </c>
      <c r="M1443" s="2012">
        <v>3</v>
      </c>
      <c r="N1443" s="2466"/>
      <c r="O1443" s="2027">
        <f>'Part VIII Scoring Criteria'!O294</f>
        <v>3</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4992</v>
      </c>
      <c r="D1444" s="2028"/>
      <c r="E1444" s="2028"/>
      <c r="F1444" s="2028"/>
      <c r="G1444" s="2028"/>
      <c r="H1444" s="2028"/>
      <c r="I1444" s="2028"/>
      <c r="J1444" s="2028"/>
      <c r="K1444" s="2028"/>
      <c r="L1444" s="2028"/>
      <c r="M1444" s="2028"/>
      <c r="N1444" s="2017"/>
      <c r="O1444" s="2027">
        <f>'Part VIII Scoring Criteria'!O295</f>
        <v>1.0200000000000001E-3</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5111</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Per the data provided by DCA, looking back 15 years, the number of low-income new construction units as a percentage of the Coffee county's population is .102%.  Therefore, this applicant qualifies for 3 points.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4847</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4893</v>
      </c>
      <c r="M1452" s="2468">
        <v>10</v>
      </c>
      <c r="N1452" s="2012"/>
      <c r="O1452" s="2027">
        <f>'Part VIII Scoring Criteria'!O303</f>
        <v>0</v>
      </c>
      <c r="P1452" s="2027">
        <f>'Part VIII Scoring Criteria'!P303</f>
        <v>0</v>
      </c>
      <c r="Q1452" s="2468" t="s">
        <v>415</v>
      </c>
      <c r="R1452" s="2884" t="s">
        <v>4996</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4909</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11</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3909</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4920</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4921</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5111</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This applicant is not scoring points in this section.</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4848</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4930</v>
      </c>
      <c r="D1468" s="2464"/>
      <c r="E1468" s="2464"/>
      <c r="F1468" s="1998"/>
      <c r="G1468" s="1998"/>
      <c r="H1468" s="1998"/>
      <c r="I1468" s="1998"/>
      <c r="J1468" s="1998"/>
      <c r="K1468" s="1998"/>
      <c r="L1468" s="1998" t="s">
        <v>4932</v>
      </c>
      <c r="M1468" s="1998"/>
      <c r="N1468" s="1998"/>
      <c r="O1468" s="1998" t="s">
        <v>4933</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4931</v>
      </c>
      <c r="D1469" s="2464"/>
      <c r="E1469" s="2464"/>
      <c r="F1469" s="1998" t="s">
        <v>4119</v>
      </c>
      <c r="G1469" s="1998"/>
      <c r="H1469" s="1998"/>
      <c r="I1469" s="1998" t="s">
        <v>574</v>
      </c>
      <c r="J1469" s="1998"/>
      <c r="K1469" s="2012" t="s">
        <v>4741</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Pilgrim's Pride Corporation</v>
      </c>
      <c r="D1470" s="2899"/>
      <c r="E1470" s="2899"/>
      <c r="F1470" s="2899" t="str">
        <f>'Part VIII Scoring Criteria'!F321</f>
        <v>113 McNeil Drive</v>
      </c>
      <c r="G1470" s="2899"/>
      <c r="H1470" s="2899"/>
      <c r="I1470" s="2899" t="str">
        <f>'Part VIII Scoring Criteria'!I321</f>
        <v>Douglas</v>
      </c>
      <c r="J1470" s="2899"/>
      <c r="K1470" s="2900">
        <f>'Part VIII Scoring Criteria'!K321</f>
        <v>31533</v>
      </c>
      <c r="L1470" s="2899">
        <f>'Part VIII Scoring Criteria'!L321</f>
        <v>1.1000000000000001</v>
      </c>
      <c r="M1470" s="2899"/>
      <c r="N1470" s="2882"/>
      <c r="O1470" s="2882" t="str">
        <f>'Part VIII Scoring Criteria'!O321</f>
        <v>90+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5111</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 xml:space="preserve">The Chief Executive Office of the Douglas-Coffee County Chamber of Commerce and Economic Development Authority signed a letter stating the following:
1. Industry of the project - food processing company
2. The number of jobs the project will generate - More than 90
3. Agreement executed between the authority and project - Pilgrim's Pride and the Authority signed a tax abatement agreement.
Per Google maps, the distance from the pedestrian entrance of the project and the project is less than 30 miles.
Please see the Economic Development Proximity folder for the letter and Google Map directions.
</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4923</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3688</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5111</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This applicant is not scoing points in this section.</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5111</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t="str">
        <f>'Part VIII Scoring Criteria'!I360</f>
        <v>City of Douglas GICH</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5111</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The City of Douglas is a Certified GICH Alumni Commnunity.  The Applicant obtained a letter from the City of Douglas GICH team.  This letter was the sole letter issued in 2024 by the City of Douglas team and the letter identifies the boundaries of the GICH community, identifies the proposed development as being within the boundaries of the City of Douglas GICH community and the letter is executed by the primary contact for the City of Douglas GICH, Georgia Henderson.  The Applicant also obtained a letter from the local government agreeing to the issuance of the GICH letter.  Copies of all letters are in DCA Community Initiatives folder.</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4849</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4032</v>
      </c>
      <c r="C1519" s="1998"/>
      <c r="D1519" s="2464"/>
      <c r="E1519" s="2464"/>
      <c r="F1519" s="1998"/>
      <c r="G1519" s="1998"/>
      <c r="H1519" s="1998"/>
      <c r="I1519" s="1998"/>
      <c r="J1519" s="1998"/>
      <c r="K1519" s="1998"/>
      <c r="L1519" s="2842" t="s">
        <v>4893</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4735</v>
      </c>
      <c r="C1520" s="1998"/>
      <c r="D1520" s="2464"/>
      <c r="E1520" s="2464"/>
      <c r="F1520" s="2852" t="s">
        <v>4943</v>
      </c>
      <c r="G1520" s="1998"/>
      <c r="H1520" s="1998"/>
      <c r="I1520" s="1998"/>
      <c r="J1520" s="1998"/>
      <c r="K1520" s="2813" t="str">
        <f>IF(OR($O1520=$M1520,$O1520=0,$O1520=""),"","*CHECK!*")</f>
        <v/>
      </c>
      <c r="L1520" s="2842" t="s">
        <v>4893</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4707</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4034</v>
      </c>
      <c r="C1522" s="2034"/>
      <c r="D1522" s="2034"/>
      <c r="E1522" s="2034"/>
      <c r="F1522" s="2034"/>
      <c r="G1522" s="2034"/>
      <c r="H1522" s="2034"/>
      <c r="I1522" s="2034"/>
      <c r="J1522" s="1998"/>
      <c r="K1522" s="1998"/>
      <c r="L1522" s="2842" t="s">
        <v>4893</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4033</v>
      </c>
      <c r="C1523" s="2028"/>
      <c r="D1523" s="2028"/>
      <c r="E1523" s="2036"/>
      <c r="F1523" s="1998"/>
      <c r="G1523" s="1998"/>
      <c r="H1523" s="1998"/>
      <c r="I1523" s="2028"/>
      <c r="J1523" s="2028"/>
      <c r="K1523" s="2012"/>
      <c r="L1523" s="2842" t="s">
        <v>4893</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4850</v>
      </c>
      <c r="C1524" s="1998"/>
      <c r="D1524" s="2464"/>
      <c r="E1524" s="1998"/>
      <c r="F1524" s="2852" t="s">
        <v>4937</v>
      </c>
      <c r="G1524" s="1998"/>
      <c r="H1524" s="1998"/>
      <c r="I1524" s="1998"/>
      <c r="J1524" s="1998"/>
      <c r="K1524" s="2868" t="str">
        <f>IF(AND($O1524&gt;0,NOT($F$12="Preservation")),"Ineligible, not Preservation!","")</f>
        <v/>
      </c>
      <c r="L1524" s="2842" t="s">
        <v>4893</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4993</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3908</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4994</v>
      </c>
      <c r="D1529" s="1998"/>
      <c r="E1529" s="1998"/>
      <c r="F1529" s="2852"/>
      <c r="G1529" s="1998"/>
      <c r="H1529" s="1998"/>
      <c r="I1529" s="2861" t="s">
        <v>4995</v>
      </c>
      <c r="J1529" s="2897">
        <f>'Part VIII Scoring Criteria'!J380</f>
        <v>11</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11</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3909</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4851</v>
      </c>
      <c r="C1533" s="1998"/>
      <c r="D1533" s="2464"/>
      <c r="E1533" s="1998"/>
      <c r="F1533" s="1998"/>
      <c r="G1533" s="2811"/>
      <c r="H1533" s="1998"/>
      <c r="I1533" s="1998"/>
      <c r="J1533" s="1998"/>
      <c r="K1533" s="2813" t="str">
        <f>IF(OR($O1533&lt;=$M1533,$O1533=0,$O1533=""),"","*CHECK!*")</f>
        <v/>
      </c>
      <c r="L1533" s="2466" t="s">
        <v>4893</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4924</v>
      </c>
      <c r="D1534" s="1998"/>
      <c r="E1534" s="1998"/>
      <c r="F1534" s="1998"/>
      <c r="G1534" s="1998"/>
      <c r="H1534" s="2904" t="s">
        <v>4936</v>
      </c>
      <c r="I1534" s="2468"/>
      <c r="J1534" s="2851">
        <f>'Part VIII Scoring Criteria'!J385</f>
        <v>0</v>
      </c>
      <c r="K1534" s="2031"/>
      <c r="L1534" s="2842" t="s">
        <v>4893</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4925</v>
      </c>
      <c r="D1535" s="2034"/>
      <c r="E1535" s="2034"/>
      <c r="F1535" s="1998"/>
      <c r="G1535" s="1998"/>
      <c r="H1535" s="2852" t="s">
        <v>4935</v>
      </c>
      <c r="I1535" s="2034"/>
      <c r="J1535" s="2033">
        <f>'Part VIII Scoring Criteria'!J386</f>
        <v>0</v>
      </c>
      <c r="K1535" s="2034"/>
      <c r="L1535" s="2842" t="s">
        <v>4893</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4736</v>
      </c>
      <c r="D1536" s="2028"/>
      <c r="E1536" s="2028"/>
      <c r="F1536" s="2852" t="s">
        <v>4926</v>
      </c>
      <c r="G1536" s="2028"/>
      <c r="H1536" s="2028"/>
      <c r="I1536" s="2028"/>
      <c r="J1536" s="2028"/>
      <c r="K1536" s="2012" t="str">
        <f>IF(OR($O1536="",$O$12="4%"),"","Ineligible!")</f>
        <v>Ineligible!</v>
      </c>
      <c r="L1536" s="2842" t="s">
        <v>4893</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4740</v>
      </c>
      <c r="E1537" s="1998"/>
      <c r="F1537" s="1998"/>
      <c r="G1537" s="1998" t="s">
        <v>4119</v>
      </c>
      <c r="H1537" s="1998"/>
      <c r="I1537" s="1998"/>
      <c r="J1537" s="1998" t="s">
        <v>574</v>
      </c>
      <c r="K1537" s="2028"/>
      <c r="L1537" s="2017" t="s">
        <v>4741</v>
      </c>
      <c r="M1537" s="2028" t="s">
        <v>4745</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4688</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4689</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4927</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4928</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4901</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4929</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4737</v>
      </c>
      <c r="D1548" s="2034"/>
      <c r="E1548" s="2034"/>
      <c r="F1548" s="2852" t="s">
        <v>4926</v>
      </c>
      <c r="G1548" s="2034"/>
      <c r="H1548" s="2852" t="s">
        <v>4934</v>
      </c>
      <c r="I1548" s="2034"/>
      <c r="J1548" s="2851">
        <f>'Part VIII Scoring Criteria'!J399</f>
        <v>0</v>
      </c>
      <c r="K1548" s="2012" t="str">
        <f>IF(OR($O1548="",$O$12="4%"),"","Ineligible!")</f>
        <v>Ineligible!</v>
      </c>
      <c r="L1548" s="2842" t="s">
        <v>4893</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5111</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This applicant is not scoing points in this section.</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5125</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84</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5126</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5" t="s">
        <v>2473</v>
      </c>
      <c r="B5" s="4015"/>
      <c r="C5" s="4015"/>
      <c r="D5" s="4015"/>
      <c r="E5" s="4015"/>
      <c r="F5" s="4015"/>
      <c r="G5" s="4015"/>
      <c r="H5" s="4015"/>
      <c r="I5" s="4015"/>
      <c r="J5" s="4015"/>
      <c r="K5" s="4015"/>
      <c r="L5" s="4015"/>
      <c r="M5" s="4015"/>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1" t="s">
        <v>1762</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4944</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1611</v>
      </c>
      <c r="B13" s="4013" t="s">
        <v>3103</v>
      </c>
      <c r="C13" s="4013"/>
      <c r="D13" s="4013"/>
      <c r="E13" s="4013"/>
      <c r="F13" s="4013"/>
      <c r="G13" s="4013"/>
      <c r="H13" s="4013"/>
      <c r="I13" s="4013"/>
      <c r="J13" s="4013"/>
      <c r="K13" s="4013"/>
      <c r="L13" s="4013"/>
      <c r="M13" s="4013"/>
      <c r="U13" s="796" t="s">
        <v>4167</v>
      </c>
    </row>
    <row r="14" spans="1:26" ht="47.25" customHeight="1">
      <c r="A14" s="802" t="s">
        <v>1612</v>
      </c>
      <c r="B14" s="4013" t="s">
        <v>3104</v>
      </c>
      <c r="C14" s="4013"/>
      <c r="D14" s="4013"/>
      <c r="E14" s="4013"/>
      <c r="F14" s="4013"/>
      <c r="G14" s="4013"/>
      <c r="H14" s="4013"/>
      <c r="I14" s="4013"/>
      <c r="J14" s="4013"/>
      <c r="K14" s="4013"/>
      <c r="L14" s="4013"/>
      <c r="M14" s="4013"/>
    </row>
    <row r="15" spans="1:26" ht="117" customHeight="1">
      <c r="A15" s="802" t="s">
        <v>1613</v>
      </c>
      <c r="B15" s="4013" t="s">
        <v>3105</v>
      </c>
      <c r="C15" s="4013"/>
      <c r="D15" s="4013"/>
      <c r="E15" s="4013"/>
      <c r="F15" s="4013"/>
      <c r="G15" s="4013"/>
      <c r="H15" s="4013"/>
      <c r="I15" s="4013"/>
      <c r="J15" s="4013"/>
      <c r="K15" s="4013"/>
      <c r="L15" s="4013"/>
      <c r="M15" s="4013"/>
    </row>
    <row r="16" spans="1:26" ht="147" customHeight="1">
      <c r="A16" s="802" t="s">
        <v>2176</v>
      </c>
      <c r="B16" s="4013" t="s">
        <v>2985</v>
      </c>
      <c r="C16" s="4013"/>
      <c r="D16" s="4013"/>
      <c r="E16" s="4013"/>
      <c r="F16" s="4013"/>
      <c r="G16" s="4013"/>
      <c r="H16" s="4013"/>
      <c r="I16" s="4013"/>
      <c r="J16" s="4013"/>
      <c r="K16" s="4013"/>
      <c r="L16" s="4013"/>
      <c r="M16" s="4013"/>
    </row>
    <row r="17" spans="1:13" ht="48.75" customHeight="1">
      <c r="A17" s="802" t="s">
        <v>1446</v>
      </c>
      <c r="B17" s="4013" t="s">
        <v>636</v>
      </c>
      <c r="C17" s="4013"/>
      <c r="D17" s="4013"/>
      <c r="E17" s="4013"/>
      <c r="F17" s="4013"/>
      <c r="G17" s="4013"/>
      <c r="H17" s="4013"/>
      <c r="I17" s="4013"/>
      <c r="J17" s="4013"/>
      <c r="K17" s="4013"/>
      <c r="L17" s="4013"/>
      <c r="M17" s="4013"/>
    </row>
    <row r="18" spans="1:13" ht="165" customHeight="1">
      <c r="A18" s="802" t="s">
        <v>1447</v>
      </c>
      <c r="B18" s="4013" t="s">
        <v>2984</v>
      </c>
      <c r="C18" s="4013"/>
      <c r="D18" s="4013"/>
      <c r="E18" s="4013"/>
      <c r="F18" s="4013"/>
      <c r="G18" s="4013"/>
      <c r="H18" s="4013"/>
      <c r="I18" s="4013"/>
      <c r="J18" s="4013"/>
      <c r="K18" s="4013"/>
      <c r="L18" s="4013"/>
      <c r="M18" s="4013"/>
    </row>
    <row r="19" spans="1:13" ht="48.75" customHeight="1">
      <c r="A19" s="802" t="s">
        <v>93</v>
      </c>
      <c r="B19" s="4014" t="s">
        <v>3106</v>
      </c>
      <c r="C19" s="4014"/>
      <c r="D19" s="4014"/>
      <c r="E19" s="4014"/>
      <c r="F19" s="4014"/>
      <c r="G19" s="4014"/>
      <c r="H19" s="4014"/>
      <c r="I19" s="4014"/>
      <c r="J19" s="4014"/>
      <c r="K19" s="4014"/>
      <c r="L19" s="4014"/>
      <c r="M19" s="4014"/>
    </row>
    <row r="20" spans="1:13" ht="50.25" customHeight="1">
      <c r="A20" s="802" t="s">
        <v>480</v>
      </c>
      <c r="B20" s="4013" t="s">
        <v>2986</v>
      </c>
      <c r="C20" s="4013"/>
      <c r="D20" s="4013"/>
      <c r="E20" s="4013"/>
      <c r="F20" s="4013"/>
      <c r="G20" s="4013"/>
      <c r="H20" s="4013"/>
      <c r="I20" s="4013"/>
      <c r="J20" s="4013"/>
      <c r="K20" s="4013"/>
      <c r="L20" s="4013"/>
      <c r="M20" s="4013"/>
    </row>
    <row r="21" spans="1:13" ht="31.5" customHeight="1">
      <c r="A21" s="802" t="s">
        <v>481</v>
      </c>
      <c r="B21" s="4013" t="s">
        <v>3002</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1372</v>
      </c>
      <c r="B24" s="4011"/>
      <c r="C24" s="4011"/>
      <c r="D24" s="4011"/>
      <c r="E24" s="4011"/>
      <c r="F24" s="4011"/>
      <c r="G24" s="4011"/>
      <c r="H24" s="4011"/>
      <c r="I24" s="4011"/>
      <c r="J24" s="4011"/>
      <c r="K24" s="4011"/>
      <c r="L24" s="4011"/>
      <c r="M24" s="4011"/>
    </row>
    <row r="25" spans="1:13" ht="32.25" customHeight="1">
      <c r="A25" s="802" t="s">
        <v>1373</v>
      </c>
      <c r="B25" s="4013" t="s">
        <v>3003</v>
      </c>
      <c r="C25" s="4013"/>
      <c r="D25" s="4013"/>
      <c r="E25" s="4013"/>
      <c r="F25" s="4013"/>
      <c r="G25" s="4013"/>
      <c r="H25" s="4013"/>
      <c r="I25" s="4013"/>
      <c r="J25" s="4013"/>
      <c r="K25" s="4013"/>
      <c r="L25" s="4013"/>
      <c r="M25" s="4013"/>
    </row>
    <row r="26" spans="1:13" ht="31.5" customHeight="1">
      <c r="A26" s="802" t="s">
        <v>1373</v>
      </c>
      <c r="B26" s="4013" t="s">
        <v>3004</v>
      </c>
      <c r="C26" s="4013"/>
      <c r="D26" s="4013"/>
      <c r="E26" s="4013"/>
      <c r="F26" s="4013"/>
      <c r="G26" s="4013"/>
      <c r="H26" s="4013"/>
      <c r="I26" s="4013"/>
      <c r="J26" s="4013"/>
      <c r="K26" s="4013"/>
      <c r="L26" s="4013"/>
      <c r="M26" s="4013"/>
    </row>
    <row r="27" spans="1:13" ht="78.75" customHeight="1">
      <c r="A27" s="802" t="s">
        <v>1373</v>
      </c>
      <c r="B27" s="4013" t="s">
        <v>2474</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886</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2475</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863</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09" t="s">
        <v>864</v>
      </c>
      <c r="B36" s="4009"/>
      <c r="C36" s="4009"/>
      <c r="D36" s="4009"/>
      <c r="E36" s="4009"/>
      <c r="F36" s="4009"/>
      <c r="G36" s="800"/>
      <c r="H36" s="4009" t="s">
        <v>1834</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ht="16.5">
      <c r="A38" s="4007"/>
      <c r="B38" s="4007"/>
      <c r="C38" s="4007"/>
      <c r="D38" s="4007"/>
      <c r="E38" s="4007"/>
      <c r="F38" s="4007"/>
      <c r="G38" s="800"/>
      <c r="H38" s="4008"/>
      <c r="I38" s="4008"/>
      <c r="J38" s="4008"/>
      <c r="K38" s="4008"/>
      <c r="L38" s="4008"/>
      <c r="M38" s="4008"/>
    </row>
    <row r="39" spans="1:13" ht="12" customHeight="1">
      <c r="A39" s="4009" t="s">
        <v>865</v>
      </c>
      <c r="B39" s="4009"/>
      <c r="C39" s="4009"/>
      <c r="D39" s="4009"/>
      <c r="E39" s="4009"/>
      <c r="F39" s="4009"/>
      <c r="G39" s="800"/>
      <c r="H39" s="4009" t="s">
        <v>866</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0" t="s">
        <v>867</v>
      </c>
      <c r="I41" s="4010"/>
      <c r="J41" s="4010"/>
      <c r="K41" s="4010"/>
      <c r="L41" s="4010"/>
      <c r="M41" s="4010"/>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23" t="str">
        <f>'Part I-Project Identification'!F26</f>
        <v>Pinecrest Village</v>
      </c>
      <c r="E3" s="4024"/>
      <c r="F3" s="4024"/>
      <c r="G3" s="4024"/>
      <c r="H3" s="4024"/>
      <c r="I3" s="4024"/>
      <c r="J3" s="4025" t="s">
        <v>4067</v>
      </c>
      <c r="K3" s="4026"/>
    </row>
    <row r="4" spans="1:11" ht="15" customHeight="1">
      <c r="A4" s="1269" t="s">
        <v>3839</v>
      </c>
      <c r="B4" s="1270"/>
      <c r="C4" s="1271"/>
      <c r="D4" s="4027"/>
      <c r="E4" s="4028"/>
      <c r="F4" s="4028"/>
      <c r="G4" s="4028"/>
      <c r="H4" s="4028"/>
      <c r="I4" s="4028"/>
      <c r="J4" s="4029" t="s">
        <v>3880</v>
      </c>
      <c r="K4" s="4030"/>
    </row>
    <row r="5" spans="1:11" ht="15" customHeight="1" thickBot="1">
      <c r="A5" s="1272" t="s">
        <v>3840</v>
      </c>
      <c r="B5" s="1273"/>
      <c r="C5" s="1274"/>
      <c r="D5" s="4033"/>
      <c r="E5" s="4034"/>
      <c r="F5" s="4034"/>
      <c r="G5" s="4034"/>
      <c r="H5" s="4034"/>
      <c r="I5" s="4034"/>
      <c r="J5" s="4031"/>
      <c r="K5" s="4032"/>
    </row>
    <row r="6" spans="1:11" ht="9" customHeight="1" thickBot="1">
      <c r="E6" s="1264"/>
    </row>
    <row r="7" spans="1:11">
      <c r="A7" s="4017" t="s">
        <v>3842</v>
      </c>
      <c r="B7" s="4018"/>
      <c r="C7" s="4018"/>
      <c r="D7" s="4018"/>
      <c r="E7" s="4018"/>
      <c r="F7" s="4018"/>
      <c r="G7" s="4018"/>
      <c r="H7" s="4018"/>
      <c r="I7" s="4018"/>
      <c r="J7" s="4018"/>
      <c r="K7" s="4019"/>
    </row>
    <row r="8" spans="1:11" ht="14.25" customHeight="1">
      <c r="A8" s="1270"/>
      <c r="B8" s="1270"/>
      <c r="C8" s="1482">
        <v>1</v>
      </c>
      <c r="D8" s="1289" t="s">
        <v>3843</v>
      </c>
      <c r="E8" s="1289"/>
      <c r="F8" s="1289"/>
      <c r="G8" s="1289"/>
      <c r="H8" s="1289"/>
      <c r="I8" s="1289"/>
      <c r="J8" s="4037"/>
      <c r="K8" s="4038"/>
    </row>
    <row r="9" spans="1:11" ht="7.15" customHeight="1">
      <c r="A9" s="4039"/>
      <c r="B9" s="4039"/>
      <c r="C9" s="4039"/>
      <c r="D9" s="4040"/>
      <c r="E9" s="4040"/>
      <c r="F9" s="4040"/>
      <c r="G9" s="4040"/>
      <c r="H9" s="4040"/>
      <c r="I9" s="4040"/>
      <c r="J9" s="4040"/>
      <c r="K9" s="1290"/>
    </row>
    <row r="10" spans="1:11">
      <c r="A10" s="4041" t="s">
        <v>3844</v>
      </c>
      <c r="B10" s="4042"/>
      <c r="C10" s="4042"/>
      <c r="D10" s="4042"/>
      <c r="E10" s="4042"/>
      <c r="F10" s="4042"/>
      <c r="G10" s="4042"/>
      <c r="H10" s="4042"/>
      <c r="I10" s="4042"/>
      <c r="J10" s="4042"/>
      <c r="K10" s="4043"/>
    </row>
    <row r="11" spans="1:11" ht="14.25" customHeight="1">
      <c r="A11" s="1270"/>
      <c r="B11" s="1270"/>
      <c r="C11" s="1482">
        <v>2</v>
      </c>
      <c r="D11" s="1289" t="s">
        <v>3845</v>
      </c>
      <c r="E11" s="1291"/>
      <c r="F11" s="1291"/>
      <c r="G11" s="1291"/>
      <c r="H11" s="1291"/>
      <c r="I11" s="1291"/>
      <c r="J11" s="4044"/>
      <c r="K11" s="4045"/>
    </row>
    <row r="12" spans="1:11" ht="7.15" customHeight="1">
      <c r="A12" s="4039"/>
      <c r="B12" s="4039"/>
      <c r="C12" s="4039"/>
      <c r="D12" s="4040"/>
      <c r="E12" s="4040"/>
      <c r="F12" s="4040"/>
      <c r="G12" s="4040"/>
      <c r="H12" s="4040"/>
      <c r="I12" s="4040"/>
      <c r="J12" s="4040"/>
      <c r="K12" s="1292"/>
    </row>
    <row r="13" spans="1:11">
      <c r="A13" s="4041" t="s">
        <v>3846</v>
      </c>
      <c r="B13" s="4042"/>
      <c r="C13" s="4042"/>
      <c r="D13" s="4042"/>
      <c r="E13" s="4042"/>
      <c r="F13" s="4042"/>
      <c r="G13" s="4042"/>
      <c r="H13" s="4042"/>
      <c r="I13" s="4042"/>
      <c r="J13" s="4042"/>
      <c r="K13" s="4043"/>
    </row>
    <row r="14" spans="1:11" ht="14.25" customHeight="1">
      <c r="A14" s="1270"/>
      <c r="B14" s="1270"/>
      <c r="C14" s="1483">
        <v>3</v>
      </c>
      <c r="D14" s="1293" t="s">
        <v>3847</v>
      </c>
      <c r="E14" s="1293"/>
      <c r="F14" s="1293"/>
      <c r="G14" s="1293"/>
      <c r="H14" s="1293"/>
      <c r="I14" s="1293"/>
      <c r="J14" s="4046"/>
      <c r="K14" s="4047"/>
    </row>
    <row r="15" spans="1:11" ht="14.25" customHeight="1">
      <c r="A15" s="1270"/>
      <c r="B15" s="1270"/>
      <c r="C15" s="1484">
        <v>4</v>
      </c>
      <c r="D15" s="1270" t="s">
        <v>3848</v>
      </c>
      <c r="E15" s="1270"/>
      <c r="F15" s="1270"/>
      <c r="G15" s="1270"/>
      <c r="H15" s="1270"/>
      <c r="I15" s="1270"/>
      <c r="J15" s="4048"/>
      <c r="K15" s="4049"/>
    </row>
    <row r="16" spans="1:11" ht="14.25" customHeight="1">
      <c r="A16" s="1270"/>
      <c r="B16" s="1270"/>
      <c r="C16" s="1484">
        <v>5</v>
      </c>
      <c r="D16" s="1270" t="s">
        <v>3849</v>
      </c>
      <c r="E16" s="1270"/>
      <c r="F16" s="1270"/>
      <c r="G16" s="1270"/>
      <c r="H16" s="1270"/>
      <c r="I16" s="1270"/>
      <c r="J16" s="4048"/>
      <c r="K16" s="4049"/>
    </row>
    <row r="17" spans="1:13" ht="14.25" customHeight="1">
      <c r="A17" s="1270"/>
      <c r="B17" s="1270"/>
      <c r="C17" s="1485">
        <v>6</v>
      </c>
      <c r="D17" s="1273" t="s">
        <v>3850</v>
      </c>
      <c r="E17" s="1273"/>
      <c r="F17" s="1273"/>
      <c r="G17" s="1273"/>
      <c r="H17" s="1273"/>
      <c r="I17" s="1273"/>
      <c r="J17" s="4050"/>
      <c r="K17" s="4051"/>
    </row>
    <row r="18" spans="1:13" ht="7.15" customHeight="1">
      <c r="A18" s="4039"/>
      <c r="B18" s="4039"/>
      <c r="C18" s="4039"/>
      <c r="D18" s="4040"/>
      <c r="E18" s="4040"/>
      <c r="F18" s="4040"/>
      <c r="G18" s="4040"/>
      <c r="H18" s="4040"/>
      <c r="I18" s="4040"/>
      <c r="J18" s="4040"/>
      <c r="K18" s="1292"/>
    </row>
    <row r="19" spans="1:13" ht="14.25" customHeight="1">
      <c r="A19" s="1270"/>
      <c r="B19" s="1270"/>
      <c r="C19" s="1483">
        <v>7</v>
      </c>
      <c r="D19" s="1293" t="s">
        <v>3851</v>
      </c>
      <c r="E19" s="1293"/>
      <c r="F19" s="1293"/>
      <c r="G19" s="1293"/>
      <c r="H19" s="1293"/>
      <c r="I19" s="1293"/>
      <c r="J19" s="4035" t="str">
        <f>IF(J17="No",J14-J15,IF(J17="Yes",J14-J15-J16,"Error"))</f>
        <v>Error</v>
      </c>
      <c r="K19" s="4036"/>
    </row>
    <row r="20" spans="1:13" ht="14.25" customHeight="1">
      <c r="A20" s="1270"/>
      <c r="B20" s="1270"/>
      <c r="C20" s="1485">
        <v>8</v>
      </c>
      <c r="D20" s="1273" t="s">
        <v>3852</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482">
        <v>9</v>
      </c>
      <c r="D22" s="1294" t="s">
        <v>3853</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3884</v>
      </c>
      <c r="B30" s="4057"/>
      <c r="C30" s="4057"/>
      <c r="D30" s="4057"/>
      <c r="E30" s="4057"/>
      <c r="F30" s="4057"/>
      <c r="G30" s="4057"/>
      <c r="H30" s="4057"/>
      <c r="I30" s="4057"/>
      <c r="J30" s="4057"/>
      <c r="K30" s="4058"/>
    </row>
    <row r="31" spans="1:13">
      <c r="B31" s="4059" t="s">
        <v>4067</v>
      </c>
      <c r="C31" s="4059"/>
      <c r="D31" s="4059"/>
      <c r="E31" s="4059"/>
      <c r="F31" s="4059"/>
      <c r="G31" s="4060" t="s">
        <v>3855</v>
      </c>
      <c r="H31" s="4061"/>
      <c r="I31" s="4061"/>
      <c r="J31" s="4061"/>
      <c r="K31" s="4062"/>
    </row>
    <row r="32" spans="1:13" ht="56.25" customHeight="1">
      <c r="A32" s="1288"/>
      <c r="B32" s="1306" t="s">
        <v>3883</v>
      </c>
      <c r="C32" s="1307" t="s">
        <v>3879</v>
      </c>
      <c r="D32" s="1307" t="s">
        <v>3878</v>
      </c>
      <c r="E32" s="4063" t="s">
        <v>3999</v>
      </c>
      <c r="F32" s="4064"/>
      <c r="G32" s="1308" t="s">
        <v>3856</v>
      </c>
      <c r="H32" s="1308" t="s">
        <v>3857</v>
      </c>
      <c r="J32" s="1308" t="s">
        <v>3858</v>
      </c>
      <c r="K32" s="1308" t="s">
        <v>3859</v>
      </c>
      <c r="L32" s="4065" t="s">
        <v>3860</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3861</v>
      </c>
      <c r="H52" s="1309" t="e">
        <f>SUM(H33:H51)</f>
        <v>#VALUE!</v>
      </c>
      <c r="I52" s="1293"/>
      <c r="J52" s="1299" t="s">
        <v>3862</v>
      </c>
      <c r="K52" s="1295" t="e">
        <f>SUM(K33:K51)</f>
        <v>#VALUE!</v>
      </c>
      <c r="L52" s="4065"/>
      <c r="M52" s="4065"/>
    </row>
    <row r="53" spans="1:13" ht="15" customHeight="1">
      <c r="B53" s="1300"/>
      <c r="C53" s="4070" t="s">
        <v>3863</v>
      </c>
      <c r="D53" s="4070"/>
      <c r="E53" s="4070"/>
      <c r="F53" s="4070"/>
      <c r="G53" s="4070"/>
      <c r="H53" s="4070"/>
      <c r="I53" s="4070"/>
      <c r="J53" s="4071"/>
      <c r="K53" s="1301" t="str">
        <f>IF(J17="no",0,IF(J17="yes",J16,"Error"))</f>
        <v>Error</v>
      </c>
      <c r="L53" s="4065"/>
      <c r="M53" s="4065"/>
    </row>
    <row r="54" spans="1:13" ht="15" customHeight="1" thickBot="1">
      <c r="B54" s="1300"/>
      <c r="C54" s="4074" t="s">
        <v>3864</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3865</v>
      </c>
      <c r="B56" s="4079"/>
      <c r="C56" s="4079"/>
      <c r="D56" s="4079"/>
      <c r="E56" s="4079"/>
      <c r="F56" s="4079"/>
      <c r="G56" s="4079"/>
      <c r="H56" s="4079"/>
      <c r="I56" s="4079"/>
      <c r="J56" s="4079"/>
      <c r="K56" s="4080"/>
    </row>
    <row r="57" spans="1:13" ht="48" customHeight="1">
      <c r="A57" s="1285"/>
      <c r="B57" s="1276"/>
      <c r="C57" s="1287" t="s">
        <v>3866</v>
      </c>
      <c r="D57" s="1398" t="s">
        <v>3964</v>
      </c>
      <c r="E57" s="4081" t="s">
        <v>3882</v>
      </c>
      <c r="F57" s="4082"/>
      <c r="G57" s="4083" t="s">
        <v>3867</v>
      </c>
      <c r="H57" s="4084"/>
      <c r="I57" s="4081" t="s">
        <v>3881</v>
      </c>
      <c r="J57" s="4082"/>
      <c r="K57" s="4085"/>
      <c r="L57" s="4020" t="s">
        <v>5023</v>
      </c>
      <c r="M57" s="4021"/>
    </row>
    <row r="58" spans="1:13" ht="15" customHeight="1">
      <c r="A58" s="1388"/>
      <c r="B58" s="1318"/>
      <c r="C58" s="1296">
        <f>SUMIF(C33:C51, "0", H33:H51)</f>
        <v>0</v>
      </c>
      <c r="D58" s="1399">
        <f t="shared" ref="D58:D63" si="4">ROUNDUP(C58*1.1,0)</f>
        <v>0</v>
      </c>
      <c r="E58" s="4087" t="s">
        <v>3868</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2455</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2456</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2459</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3869</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3870</v>
      </c>
      <c r="F63" s="4097"/>
      <c r="G63" s="4089" t="e">
        <f>#REF!</f>
        <v>#REF!</v>
      </c>
      <c r="H63" s="4090"/>
      <c r="I63" s="4098" t="e">
        <f t="shared" si="5"/>
        <v>#REF!</v>
      </c>
      <c r="J63" s="4098"/>
      <c r="K63" s="1321"/>
      <c r="L63" s="4022"/>
      <c r="M63" s="4021"/>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77"/>
      <c r="B65" s="4077"/>
      <c r="C65" s="4077"/>
      <c r="D65" s="4077"/>
      <c r="E65" s="4077"/>
      <c r="F65" s="4077"/>
      <c r="G65" s="4077"/>
      <c r="H65" s="4077"/>
      <c r="I65" s="4077"/>
      <c r="J65" s="4077"/>
    </row>
    <row r="66" spans="1:11">
      <c r="A66" s="4078" t="s">
        <v>3873</v>
      </c>
      <c r="B66" s="4079"/>
      <c r="C66" s="4079"/>
      <c r="D66" s="4079"/>
      <c r="E66" s="4079"/>
      <c r="F66" s="4079"/>
      <c r="G66" s="4079"/>
      <c r="H66" s="4079"/>
      <c r="I66" s="4079"/>
      <c r="J66" s="4079"/>
      <c r="K66" s="4080"/>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95" t="s">
        <v>3877</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875</v>
      </c>
      <c r="Q3" s="4101" t="s">
        <v>4425</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4424</v>
      </c>
      <c r="M5" s="1717" t="e">
        <f>#REF!</f>
        <v>#REF!</v>
      </c>
      <c r="N5" s="1718"/>
      <c r="O5" s="1719"/>
      <c r="P5" s="4192"/>
      <c r="Q5" s="4103"/>
      <c r="R5" s="1516"/>
      <c r="S5" s="1516"/>
    </row>
    <row r="6" spans="1:19" ht="17.25" customHeight="1">
      <c r="A6" s="96" t="s">
        <v>4423</v>
      </c>
      <c r="I6" s="489"/>
      <c r="J6" s="489"/>
      <c r="K6" s="4187" t="s">
        <v>3195</v>
      </c>
      <c r="L6" s="4187"/>
      <c r="M6" s="4187"/>
      <c r="N6" s="4187"/>
      <c r="O6" s="4188"/>
      <c r="P6" s="4182"/>
      <c r="Q6" s="4183"/>
      <c r="R6" s="1516"/>
      <c r="S6" s="1516"/>
    </row>
    <row r="7" spans="1:19" ht="12.6" customHeight="1">
      <c r="A7" s="97" t="s">
        <v>2982</v>
      </c>
      <c r="H7" s="985"/>
      <c r="I7" s="1713"/>
      <c r="J7" s="1713"/>
      <c r="K7" s="985"/>
      <c r="L7" s="985"/>
      <c r="M7" s="674"/>
      <c r="N7" s="674"/>
    </row>
    <row r="8" spans="1:19" ht="23.25" customHeight="1">
      <c r="A8" s="4184" t="s">
        <v>1327</v>
      </c>
      <c r="B8" s="4185"/>
      <c r="C8" s="4185"/>
      <c r="D8" s="4185"/>
      <c r="E8" s="4185"/>
      <c r="F8" s="4185"/>
      <c r="G8" s="4185"/>
      <c r="H8" s="4185"/>
      <c r="I8" s="4185"/>
      <c r="J8" s="4185"/>
      <c r="K8" s="4185"/>
      <c r="L8" s="4185"/>
      <c r="M8" s="4185"/>
      <c r="N8" s="4185"/>
      <c r="O8" s="4185"/>
      <c r="P8" s="4185"/>
      <c r="Q8" s="4186"/>
      <c r="R8" s="2946" t="s">
        <v>1878</v>
      </c>
      <c r="S8" s="2907"/>
    </row>
    <row r="9" spans="1:19" ht="23.25" customHeight="1">
      <c r="A9" s="4163" t="s">
        <v>218</v>
      </c>
      <c r="B9" s="4164"/>
      <c r="C9" s="4164"/>
      <c r="D9" s="4164"/>
      <c r="E9" s="4164"/>
      <c r="F9" s="4164"/>
      <c r="G9" s="4164"/>
      <c r="H9" s="4164"/>
      <c r="I9" s="4164"/>
      <c r="J9" s="4164"/>
      <c r="K9" s="4164"/>
      <c r="L9" s="4164"/>
      <c r="M9" s="4164"/>
      <c r="N9" s="4164"/>
      <c r="O9" s="4164"/>
      <c r="P9" s="4164"/>
      <c r="Q9" s="4165"/>
      <c r="R9" s="2946"/>
      <c r="S9" s="2907"/>
    </row>
    <row r="10" spans="1:19" ht="23.25" customHeight="1">
      <c r="A10" s="4163" t="s">
        <v>1323</v>
      </c>
      <c r="B10" s="4164"/>
      <c r="C10" s="4164"/>
      <c r="D10" s="4164"/>
      <c r="E10" s="4164"/>
      <c r="F10" s="4164"/>
      <c r="G10" s="4164"/>
      <c r="H10" s="4164"/>
      <c r="I10" s="4164"/>
      <c r="J10" s="4164"/>
      <c r="K10" s="4164"/>
      <c r="L10" s="4164"/>
      <c r="M10" s="4164"/>
      <c r="N10" s="4164"/>
      <c r="O10" s="4164"/>
      <c r="P10" s="4164"/>
      <c r="Q10" s="4165"/>
      <c r="R10" s="2946"/>
      <c r="S10" s="2907"/>
    </row>
    <row r="11" spans="1:19" ht="23.25" customHeight="1">
      <c r="A11" s="4163" t="s">
        <v>1324</v>
      </c>
      <c r="B11" s="4164"/>
      <c r="C11" s="4164"/>
      <c r="D11" s="4164"/>
      <c r="E11" s="4164"/>
      <c r="F11" s="4164"/>
      <c r="G11" s="4164"/>
      <c r="H11" s="4164"/>
      <c r="I11" s="4164"/>
      <c r="J11" s="4164"/>
      <c r="K11" s="4164"/>
      <c r="L11" s="4164"/>
      <c r="M11" s="4164"/>
      <c r="N11" s="4164"/>
      <c r="O11" s="4164"/>
      <c r="P11" s="4164"/>
      <c r="Q11" s="4165"/>
      <c r="R11" s="2946"/>
      <c r="S11" s="2907"/>
    </row>
    <row r="12" spans="1:19" ht="23.25" customHeight="1">
      <c r="A12" s="4163" t="s">
        <v>1325</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1326</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1328</v>
      </c>
      <c r="B14" s="4164"/>
      <c r="C14" s="4164"/>
      <c r="D14" s="4164"/>
      <c r="E14" s="4164"/>
      <c r="F14" s="4164"/>
      <c r="G14" s="4164"/>
      <c r="H14" s="4164"/>
      <c r="I14" s="4164"/>
      <c r="J14" s="4164"/>
      <c r="K14" s="4164"/>
      <c r="L14" s="4164"/>
      <c r="M14" s="4164"/>
      <c r="N14" s="4164"/>
      <c r="O14" s="4164"/>
      <c r="P14" s="4164"/>
      <c r="Q14" s="4165"/>
    </row>
    <row r="15" spans="1:19" ht="11.25" customHeight="1">
      <c r="A15" s="4163" t="s">
        <v>1867</v>
      </c>
      <c r="B15" s="4164"/>
      <c r="C15" s="4164"/>
      <c r="D15" s="4164"/>
      <c r="E15" s="4164"/>
      <c r="F15" s="4164"/>
      <c r="G15" s="4164"/>
      <c r="H15" s="4164"/>
      <c r="I15" s="4164"/>
      <c r="J15" s="4164"/>
      <c r="K15" s="4164"/>
      <c r="L15" s="4164"/>
      <c r="M15" s="4164"/>
      <c r="N15" s="4164"/>
      <c r="O15" s="4164"/>
      <c r="P15" s="4164"/>
      <c r="Q15" s="4165"/>
      <c r="R15" s="2946"/>
      <c r="S15" s="2907"/>
    </row>
    <row r="16" spans="1:19" ht="11.25" customHeight="1">
      <c r="A16" s="4163" t="s">
        <v>1868</v>
      </c>
      <c r="B16" s="4164"/>
      <c r="C16" s="4164"/>
      <c r="D16" s="4164"/>
      <c r="E16" s="4164"/>
      <c r="F16" s="4164"/>
      <c r="G16" s="4164"/>
      <c r="H16" s="4164"/>
      <c r="I16" s="4164"/>
      <c r="J16" s="4164"/>
      <c r="K16" s="4164"/>
      <c r="L16" s="4164"/>
      <c r="M16" s="4164"/>
      <c r="N16" s="4164"/>
      <c r="O16" s="4164"/>
      <c r="P16" s="4164"/>
      <c r="Q16" s="4165"/>
      <c r="R16" s="2946"/>
      <c r="S16" s="2907"/>
    </row>
    <row r="17" spans="1:31" ht="11.25" customHeight="1">
      <c r="A17" s="4163" t="s">
        <v>1869</v>
      </c>
      <c r="B17" s="4164"/>
      <c r="C17" s="4164"/>
      <c r="D17" s="4164"/>
      <c r="E17" s="4164"/>
      <c r="F17" s="4164"/>
      <c r="G17" s="4164"/>
      <c r="H17" s="4164"/>
      <c r="I17" s="4164"/>
      <c r="J17" s="4164"/>
      <c r="K17" s="4164"/>
      <c r="L17" s="4164"/>
      <c r="M17" s="4164"/>
      <c r="N17" s="4164"/>
      <c r="O17" s="4164"/>
      <c r="P17" s="4164"/>
      <c r="Q17" s="4165"/>
      <c r="R17" s="2946"/>
      <c r="S17" s="2907"/>
    </row>
    <row r="18" spans="1:31" ht="11.25" customHeight="1">
      <c r="A18" s="4163" t="s">
        <v>1870</v>
      </c>
      <c r="B18" s="4164"/>
      <c r="C18" s="4164"/>
      <c r="D18" s="4164"/>
      <c r="E18" s="4164"/>
      <c r="F18" s="4164"/>
      <c r="G18" s="4164"/>
      <c r="H18" s="4164"/>
      <c r="I18" s="4164"/>
      <c r="J18" s="4164"/>
      <c r="K18" s="4164"/>
      <c r="L18" s="4164"/>
      <c r="M18" s="4164"/>
      <c r="N18" s="4164"/>
      <c r="O18" s="4164"/>
      <c r="P18" s="4164"/>
      <c r="Q18" s="4165"/>
      <c r="R18" s="2946"/>
      <c r="S18" s="2907"/>
    </row>
    <row r="19" spans="1:31" ht="11.25" customHeight="1">
      <c r="A19" s="4163" t="s">
        <v>1871</v>
      </c>
      <c r="B19" s="4164"/>
      <c r="C19" s="4164"/>
      <c r="D19" s="4164"/>
      <c r="E19" s="4164"/>
      <c r="F19" s="4164"/>
      <c r="G19" s="4164"/>
      <c r="H19" s="4164"/>
      <c r="I19" s="4164"/>
      <c r="J19" s="4164"/>
      <c r="K19" s="4164"/>
      <c r="L19" s="4164"/>
      <c r="M19" s="4164"/>
      <c r="N19" s="4164"/>
      <c r="O19" s="4164"/>
      <c r="P19" s="4164"/>
      <c r="Q19" s="4165"/>
      <c r="R19" s="2946"/>
      <c r="S19" s="2907"/>
    </row>
    <row r="20" spans="1:31" ht="11.25" customHeight="1">
      <c r="A20" s="4163" t="s">
        <v>1872</v>
      </c>
      <c r="B20" s="4164"/>
      <c r="C20" s="4164"/>
      <c r="D20" s="4164"/>
      <c r="E20" s="4164"/>
      <c r="F20" s="4164"/>
      <c r="G20" s="4164"/>
      <c r="H20" s="4164"/>
      <c r="I20" s="4164"/>
      <c r="J20" s="4164"/>
      <c r="K20" s="4164"/>
      <c r="L20" s="4164"/>
      <c r="M20" s="4164"/>
      <c r="N20" s="4164"/>
      <c r="O20" s="4164"/>
      <c r="P20" s="4164"/>
      <c r="Q20" s="4165"/>
      <c r="R20" s="2946"/>
      <c r="S20" s="2907"/>
    </row>
    <row r="21" spans="1:31" ht="11.25" customHeight="1">
      <c r="A21" s="4163" t="s">
        <v>1873</v>
      </c>
      <c r="B21" s="4164"/>
      <c r="C21" s="4164"/>
      <c r="D21" s="4164"/>
      <c r="E21" s="4164"/>
      <c r="F21" s="4164"/>
      <c r="G21" s="4164"/>
      <c r="H21" s="4164"/>
      <c r="I21" s="4164"/>
      <c r="J21" s="4164"/>
      <c r="K21" s="4164"/>
      <c r="L21" s="4164"/>
      <c r="M21" s="4164"/>
      <c r="N21" s="4164"/>
      <c r="O21" s="4164"/>
      <c r="P21" s="4164"/>
      <c r="Q21" s="4165"/>
    </row>
    <row r="22" spans="1:31" ht="11.25" customHeight="1">
      <c r="A22" s="4163" t="s">
        <v>1874</v>
      </c>
      <c r="B22" s="4164"/>
      <c r="C22" s="4164"/>
      <c r="D22" s="4164"/>
      <c r="E22" s="4164"/>
      <c r="F22" s="4164"/>
      <c r="G22" s="4164"/>
      <c r="H22" s="4164"/>
      <c r="I22" s="4164"/>
      <c r="J22" s="4164"/>
      <c r="K22" s="4164"/>
      <c r="L22" s="4164"/>
      <c r="M22" s="4164"/>
      <c r="N22" s="4164"/>
      <c r="O22" s="4164"/>
      <c r="P22" s="4164"/>
      <c r="Q22" s="4165"/>
      <c r="R22" s="2946"/>
      <c r="S22" s="2907"/>
    </row>
    <row r="23" spans="1:31" ht="11.25" customHeight="1">
      <c r="A23" s="4163" t="s">
        <v>1875</v>
      </c>
      <c r="B23" s="4164"/>
      <c r="C23" s="4164"/>
      <c r="D23" s="4164"/>
      <c r="E23" s="4164"/>
      <c r="F23" s="4164"/>
      <c r="G23" s="4164"/>
      <c r="H23" s="4164"/>
      <c r="I23" s="4164"/>
      <c r="J23" s="4164"/>
      <c r="K23" s="4164"/>
      <c r="L23" s="4164"/>
      <c r="M23" s="4164"/>
      <c r="N23" s="4164"/>
      <c r="O23" s="4164"/>
      <c r="P23" s="4164"/>
      <c r="Q23" s="4165"/>
      <c r="R23" s="2946"/>
      <c r="S23" s="2907"/>
    </row>
    <row r="24" spans="1:31" ht="11.25" customHeight="1">
      <c r="A24" s="4163" t="s">
        <v>1876</v>
      </c>
      <c r="B24" s="4164"/>
      <c r="C24" s="4164"/>
      <c r="D24" s="4164"/>
      <c r="E24" s="4164"/>
      <c r="F24" s="4164"/>
      <c r="G24" s="4164"/>
      <c r="H24" s="4164"/>
      <c r="I24" s="4164"/>
      <c r="J24" s="4164"/>
      <c r="K24" s="4164"/>
      <c r="L24" s="4164"/>
      <c r="M24" s="4164"/>
      <c r="N24" s="4164"/>
      <c r="O24" s="4164"/>
      <c r="P24" s="4164"/>
      <c r="Q24" s="4165"/>
      <c r="R24" s="2946"/>
      <c r="S24" s="2907"/>
    </row>
    <row r="25" spans="1:31" ht="11.25" customHeight="1">
      <c r="A25" s="4193" t="s">
        <v>1877</v>
      </c>
      <c r="B25" s="4194"/>
      <c r="C25" s="4194"/>
      <c r="D25" s="4194"/>
      <c r="E25" s="4194"/>
      <c r="F25" s="4194"/>
      <c r="G25" s="4194"/>
      <c r="H25" s="4194"/>
      <c r="I25" s="4194"/>
      <c r="J25" s="4194"/>
      <c r="K25" s="4194"/>
      <c r="L25" s="4194"/>
      <c r="M25" s="4194"/>
      <c r="N25" s="4194"/>
      <c r="O25" s="4194"/>
      <c r="P25" s="4194"/>
      <c r="Q25" s="4195"/>
      <c r="R25" s="2946"/>
      <c r="S25" s="2907"/>
    </row>
    <row r="26" spans="1:31" ht="6" customHeight="1"/>
    <row r="27" spans="1:31" ht="14.1" customHeight="1">
      <c r="A27" s="98" t="s">
        <v>688</v>
      </c>
      <c r="B27" s="99" t="s">
        <v>4527</v>
      </c>
      <c r="C27" s="100"/>
      <c r="D27" s="66"/>
      <c r="E27" s="66"/>
      <c r="F27" s="66"/>
      <c r="G27" s="66"/>
      <c r="I27" s="878"/>
      <c r="J27" s="878"/>
      <c r="K27" s="878"/>
      <c r="L27" s="674"/>
      <c r="M27" s="674"/>
      <c r="O27" s="101" t="s">
        <v>1726</v>
      </c>
      <c r="P27" s="4125"/>
      <c r="Q27" s="4114"/>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5"/>
      <c r="Q34" s="4114"/>
    </row>
    <row r="35" spans="1:31" ht="12.75" customHeight="1">
      <c r="A35" s="2"/>
      <c r="B35" s="108" t="s">
        <v>4535</v>
      </c>
      <c r="C35" s="4"/>
      <c r="D35" s="4"/>
      <c r="E35" s="874"/>
      <c r="F35" s="874"/>
      <c r="H35" s="874"/>
      <c r="J35" s="2927" t="s">
        <v>4361</v>
      </c>
      <c r="K35" s="2928"/>
      <c r="L35" s="2929"/>
      <c r="M35" s="147" t="s">
        <v>1642</v>
      </c>
      <c r="N35" s="4278"/>
      <c r="O35" s="4279"/>
      <c r="P35" s="4279"/>
      <c r="Q35" s="4280"/>
    </row>
    <row r="36" spans="1:31" ht="12.75" customHeight="1">
      <c r="A36" s="2"/>
      <c r="B36" s="108" t="s">
        <v>4534</v>
      </c>
      <c r="C36" s="4"/>
      <c r="D36" s="4"/>
      <c r="E36" s="874"/>
      <c r="F36" s="874"/>
      <c r="G36" s="1576"/>
      <c r="H36" s="874"/>
      <c r="J36" s="2927" t="s">
        <v>4362</v>
      </c>
      <c r="K36" s="2928"/>
      <c r="L36" s="2929"/>
      <c r="M36" s="147" t="s">
        <v>1642</v>
      </c>
      <c r="N36" s="4278"/>
      <c r="O36" s="4279"/>
      <c r="P36" s="4279"/>
      <c r="Q36" s="4280"/>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25"/>
      <c r="Q40" s="4114"/>
    </row>
    <row r="41" spans="1:31" ht="1.5" customHeight="1"/>
    <row r="42" spans="1:31" ht="12" customHeight="1">
      <c r="A42" s="110" t="s">
        <v>1836</v>
      </c>
      <c r="B42" s="4107" t="s">
        <v>3659</v>
      </c>
      <c r="C42" s="4107"/>
      <c r="D42" s="4107"/>
      <c r="E42" s="4107"/>
      <c r="F42" s="4107"/>
      <c r="G42" s="4107"/>
      <c r="H42" s="4107"/>
      <c r="I42" s="4107"/>
      <c r="J42" s="4107"/>
      <c r="K42" s="115"/>
      <c r="L42" s="346" t="s">
        <v>2573</v>
      </c>
      <c r="M42" s="1144">
        <v>2</v>
      </c>
      <c r="N42" s="108" t="s">
        <v>3891</v>
      </c>
      <c r="P42" s="4147"/>
      <c r="Q42" s="4159"/>
    </row>
    <row r="43" spans="1:31" ht="12" customHeight="1">
      <c r="A43" s="110"/>
      <c r="B43" s="4107"/>
      <c r="C43" s="4107"/>
      <c r="D43" s="4107"/>
      <c r="E43" s="4107"/>
      <c r="F43" s="4107"/>
      <c r="G43" s="4107"/>
      <c r="H43" s="4107"/>
      <c r="I43" s="4107"/>
      <c r="J43" s="4107"/>
      <c r="K43" s="115"/>
      <c r="L43" s="346" t="s">
        <v>3663</v>
      </c>
      <c r="M43" s="1145">
        <v>4</v>
      </c>
      <c r="O43" s="111"/>
      <c r="P43" s="4148"/>
      <c r="Q43" s="4160"/>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70"/>
      <c r="M50" s="4171"/>
      <c r="N50" s="4171"/>
      <c r="O50" s="4171"/>
      <c r="P50" s="4171"/>
      <c r="Q50" s="4172"/>
    </row>
    <row r="51" spans="1:31" ht="12.75" customHeight="1">
      <c r="A51" s="112"/>
      <c r="B51" s="371" t="s">
        <v>1446</v>
      </c>
      <c r="C51" s="4107" t="s">
        <v>3669</v>
      </c>
      <c r="D51" s="4107"/>
      <c r="E51" s="4107"/>
      <c r="F51" s="4107"/>
      <c r="G51" s="4107"/>
      <c r="H51" s="4107"/>
      <c r="I51" s="4107"/>
      <c r="J51" s="4107"/>
      <c r="K51" s="4107"/>
      <c r="L51" s="4107"/>
      <c r="M51" s="412"/>
      <c r="N51" s="108" t="s">
        <v>3896</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25"/>
      <c r="Q56" s="4114"/>
    </row>
    <row r="57" spans="1:31" ht="3" customHeight="1"/>
    <row r="58" spans="1:31" ht="12.75" customHeight="1">
      <c r="A58" s="40" t="s">
        <v>1836</v>
      </c>
      <c r="B58" s="32" t="s">
        <v>2258</v>
      </c>
      <c r="D58" s="103"/>
      <c r="E58" s="103"/>
      <c r="F58" s="103"/>
      <c r="G58" s="103"/>
      <c r="H58" s="103"/>
      <c r="I58" s="35"/>
      <c r="J58" s="35"/>
      <c r="K58" s="35"/>
      <c r="L58" s="48" t="s">
        <v>1836</v>
      </c>
      <c r="M58" s="4201"/>
      <c r="N58" s="4202"/>
      <c r="O58" s="4202"/>
      <c r="P58" s="4203"/>
      <c r="Q58" s="418"/>
    </row>
    <row r="59" spans="1:31" ht="12.75" customHeight="1">
      <c r="A59" s="40" t="s">
        <v>1838</v>
      </c>
      <c r="B59" s="29" t="s">
        <v>3820</v>
      </c>
      <c r="D59" s="103"/>
      <c r="E59" s="103"/>
      <c r="F59" s="103"/>
      <c r="L59" s="48" t="s">
        <v>1838</v>
      </c>
      <c r="M59" s="4144"/>
      <c r="N59" s="4145"/>
      <c r="O59" s="4145"/>
      <c r="P59" s="3104"/>
      <c r="Q59" s="419"/>
    </row>
    <row r="60" spans="1:31" ht="12.75" customHeight="1">
      <c r="A60" s="40" t="s">
        <v>697</v>
      </c>
      <c r="B60" s="29" t="s">
        <v>2550</v>
      </c>
      <c r="D60" s="103"/>
      <c r="E60" s="103"/>
      <c r="F60" s="103"/>
      <c r="L60" s="48" t="s">
        <v>697</v>
      </c>
      <c r="M60" s="4140"/>
      <c r="N60" s="4141"/>
      <c r="O60" s="4141"/>
      <c r="P60" s="4142"/>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6"/>
      <c r="F64" s="4146"/>
      <c r="G64" s="4146"/>
      <c r="H64" s="48" t="s">
        <v>2176</v>
      </c>
      <c r="I64" s="383"/>
      <c r="J64" s="4146"/>
      <c r="K64" s="4146"/>
      <c r="L64" s="4146"/>
      <c r="M64" s="48" t="s">
        <v>93</v>
      </c>
      <c r="N64" s="383"/>
      <c r="O64" s="4146"/>
      <c r="P64" s="4146"/>
      <c r="Q64" s="4146"/>
    </row>
    <row r="65" spans="1:31" ht="12.75" customHeight="1">
      <c r="C65" s="49" t="s">
        <v>1612</v>
      </c>
      <c r="D65" s="1682"/>
      <c r="E65" s="4256"/>
      <c r="F65" s="4256"/>
      <c r="G65" s="4256"/>
      <c r="H65" s="48" t="s">
        <v>1446</v>
      </c>
      <c r="I65" s="1682"/>
      <c r="J65" s="4256"/>
      <c r="K65" s="4256"/>
      <c r="L65" s="4256"/>
      <c r="M65" s="48" t="s">
        <v>480</v>
      </c>
      <c r="N65" s="1682"/>
      <c r="O65" s="4256"/>
      <c r="P65" s="4256"/>
      <c r="Q65" s="4256"/>
    </row>
    <row r="66" spans="1:31" ht="12.75" customHeight="1">
      <c r="C66" s="49" t="s">
        <v>1613</v>
      </c>
      <c r="D66" s="384"/>
      <c r="E66" s="4196"/>
      <c r="F66" s="4196"/>
      <c r="G66" s="4196"/>
      <c r="H66" s="48" t="s">
        <v>1447</v>
      </c>
      <c r="I66" s="384"/>
      <c r="J66" s="4196"/>
      <c r="K66" s="4196"/>
      <c r="L66" s="4196"/>
      <c r="M66" s="48" t="s">
        <v>481</v>
      </c>
      <c r="N66" s="384"/>
      <c r="O66" s="4196"/>
      <c r="P66" s="4196"/>
      <c r="Q66" s="4196"/>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495</v>
      </c>
      <c r="B74" s="2" t="s">
        <v>2416</v>
      </c>
      <c r="C74" s="2"/>
      <c r="D74" s="874"/>
      <c r="E74" s="874"/>
      <c r="F74" s="874"/>
      <c r="G74" s="874"/>
      <c r="H74" s="874"/>
      <c r="I74" s="874"/>
      <c r="J74" s="874"/>
      <c r="K74" s="874"/>
      <c r="L74" s="874"/>
      <c r="M74" s="874"/>
      <c r="O74" s="101" t="s">
        <v>1726</v>
      </c>
      <c r="P74" s="4125"/>
      <c r="Q74" s="4114"/>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0"/>
      <c r="N77" s="4171"/>
      <c r="O77" s="4171"/>
      <c r="P77" s="4265"/>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7" t="s">
        <v>3823</v>
      </c>
      <c r="D84" s="4107"/>
      <c r="E84" s="4107"/>
      <c r="F84" s="4107"/>
      <c r="G84" s="4107"/>
      <c r="H84" s="4107"/>
      <c r="I84" s="4107"/>
      <c r="J84" s="4107"/>
      <c r="K84" s="4107"/>
      <c r="L84" s="4107"/>
      <c r="M84" s="4107"/>
      <c r="N84" s="4107"/>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719</v>
      </c>
      <c r="B92" s="2" t="s">
        <v>2417</v>
      </c>
      <c r="C92" s="33"/>
      <c r="D92" s="874"/>
      <c r="E92" s="874"/>
      <c r="F92" s="874"/>
      <c r="G92" s="874"/>
      <c r="H92" s="874"/>
      <c r="I92" s="874"/>
      <c r="J92" s="874"/>
      <c r="K92" s="874"/>
      <c r="L92" s="874"/>
      <c r="M92" s="874"/>
      <c r="N92" s="845" t="s">
        <v>4426</v>
      </c>
      <c r="O92" s="101" t="s">
        <v>1726</v>
      </c>
      <c r="P92" s="4125"/>
      <c r="Q92" s="4114"/>
      <c r="R92" s="847" t="s">
        <v>4413</v>
      </c>
    </row>
    <row r="93" spans="1:31" ht="6.6" customHeight="1"/>
    <row r="94" spans="1:31">
      <c r="A94" s="40" t="s">
        <v>1836</v>
      </c>
      <c r="B94" s="29" t="s">
        <v>4082</v>
      </c>
      <c r="D94" s="103"/>
      <c r="E94" s="103"/>
      <c r="F94" s="103"/>
      <c r="G94" s="103"/>
      <c r="H94" s="103"/>
      <c r="I94" s="35"/>
      <c r="J94" s="35"/>
      <c r="K94" s="48" t="s">
        <v>1836</v>
      </c>
      <c r="L94" s="4257"/>
      <c r="M94" s="4257"/>
      <c r="N94" s="4257"/>
      <c r="O94" s="4257"/>
      <c r="P94" s="4258"/>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1"/>
      <c r="M99" s="4161"/>
      <c r="N99" s="4161"/>
      <c r="O99" s="4161"/>
      <c r="P99" s="4162"/>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7" t="s">
        <v>141</v>
      </c>
      <c r="C123" s="4107"/>
      <c r="D123" s="4107"/>
      <c r="E123" s="4107"/>
      <c r="F123" s="4107"/>
      <c r="G123" s="4107"/>
      <c r="H123" s="4107"/>
      <c r="I123" s="4107"/>
      <c r="J123" s="4107"/>
      <c r="K123" s="4107"/>
      <c r="L123" s="4107"/>
      <c r="M123" s="128" t="s">
        <v>1803</v>
      </c>
      <c r="N123" s="4121" t="s">
        <v>1641</v>
      </c>
      <c r="O123" s="4122"/>
      <c r="P123" s="4123" t="s">
        <v>1641</v>
      </c>
      <c r="Q123" s="4124"/>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4426</v>
      </c>
      <c r="O130" s="101" t="s">
        <v>1726</v>
      </c>
      <c r="P130" s="4125"/>
      <c r="Q130" s="4114"/>
      <c r="R130" s="847" t="s">
        <v>4413</v>
      </c>
    </row>
    <row r="131" spans="1:31" ht="12" customHeight="1">
      <c r="A131" s="40" t="s">
        <v>1836</v>
      </c>
      <c r="B131" s="113" t="s">
        <v>1611</v>
      </c>
      <c r="C131" s="29" t="s">
        <v>4428</v>
      </c>
      <c r="D131" s="29"/>
      <c r="E131" s="29"/>
      <c r="F131" s="29"/>
      <c r="G131" s="29"/>
      <c r="K131" s="29" t="s">
        <v>2453</v>
      </c>
      <c r="M131" s="4149"/>
      <c r="N131" s="4150"/>
      <c r="O131" s="49" t="s">
        <v>1611</v>
      </c>
      <c r="P131" s="74"/>
      <c r="Q131" s="416"/>
    </row>
    <row r="132" spans="1:31" ht="12" customHeight="1">
      <c r="A132" s="40"/>
      <c r="B132" s="113" t="s">
        <v>1612</v>
      </c>
      <c r="C132" s="29" t="s">
        <v>3924</v>
      </c>
      <c r="D132" s="29"/>
      <c r="E132" s="29"/>
      <c r="F132" s="29"/>
      <c r="G132" s="29"/>
      <c r="K132" s="29" t="s">
        <v>2453</v>
      </c>
      <c r="M132" s="4149"/>
      <c r="N132" s="4150"/>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7" t="s">
        <v>4691</v>
      </c>
      <c r="N133" s="4198"/>
      <c r="P133" s="4199" t="s">
        <v>1641</v>
      </c>
      <c r="Q133" s="4200"/>
    </row>
    <row r="134" spans="1:31" ht="12" customHeight="1">
      <c r="A134" s="40" t="s">
        <v>697</v>
      </c>
      <c r="B134" s="108" t="s">
        <v>635</v>
      </c>
      <c r="D134" s="108"/>
      <c r="E134" s="108"/>
      <c r="F134" s="108"/>
      <c r="G134" s="108"/>
      <c r="H134" s="108"/>
      <c r="J134" s="48" t="s">
        <v>697</v>
      </c>
      <c r="K134" s="4170"/>
      <c r="L134" s="4171"/>
      <c r="M134" s="4171"/>
      <c r="N134" s="4171"/>
      <c r="O134" s="4171"/>
      <c r="P134" s="4172"/>
      <c r="Q134" s="416"/>
    </row>
    <row r="135" spans="1:31" ht="21.75" customHeight="1">
      <c r="A135" s="110" t="s">
        <v>1957</v>
      </c>
      <c r="B135" s="4107" t="s">
        <v>4088</v>
      </c>
      <c r="C135" s="4107"/>
      <c r="D135" s="4107"/>
      <c r="E135" s="4107"/>
      <c r="F135" s="4107"/>
      <c r="G135" s="4107"/>
      <c r="H135" s="4107"/>
      <c r="I135" s="4107"/>
      <c r="J135" s="4107"/>
      <c r="K135" s="4107"/>
      <c r="L135" s="4107"/>
      <c r="M135" s="4107"/>
      <c r="N135" s="4107"/>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65"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5"/>
      <c r="Q141" s="4114"/>
    </row>
    <row r="142" spans="1:31" ht="21.75" customHeight="1">
      <c r="A142" s="110" t="s">
        <v>1836</v>
      </c>
      <c r="B142" s="4107" t="s">
        <v>3147</v>
      </c>
      <c r="C142" s="4107"/>
      <c r="D142" s="4107"/>
      <c r="E142" s="4107"/>
      <c r="F142" s="4107"/>
      <c r="G142" s="4107"/>
      <c r="H142" s="4107"/>
      <c r="I142" s="4107"/>
      <c r="J142" s="4107"/>
      <c r="K142" s="4107"/>
      <c r="L142" s="4107"/>
      <c r="M142" s="4107"/>
      <c r="N142" s="4107"/>
      <c r="O142" s="128" t="s">
        <v>1836</v>
      </c>
      <c r="P142" s="881"/>
      <c r="Q142" s="880"/>
    </row>
    <row r="143" spans="1:31" ht="22.35" customHeight="1">
      <c r="A143" s="110" t="s">
        <v>1838</v>
      </c>
      <c r="B143" s="4107" t="s">
        <v>3674</v>
      </c>
      <c r="C143" s="4107"/>
      <c r="D143" s="4107"/>
      <c r="E143" s="4107"/>
      <c r="F143" s="4107"/>
      <c r="G143" s="4107"/>
      <c r="H143" s="4107"/>
      <c r="I143" s="4107"/>
      <c r="J143" s="4107"/>
      <c r="K143" s="4107"/>
      <c r="L143" s="4107"/>
      <c r="M143" s="4107"/>
      <c r="N143" s="4107"/>
      <c r="O143" s="128" t="s">
        <v>1838</v>
      </c>
      <c r="P143" s="430"/>
      <c r="Q143" s="421"/>
    </row>
    <row r="144" spans="1:31" ht="22.35" customHeight="1">
      <c r="A144" s="110" t="s">
        <v>697</v>
      </c>
      <c r="B144" s="4107" t="s">
        <v>3148</v>
      </c>
      <c r="C144" s="4107"/>
      <c r="D144" s="4107"/>
      <c r="E144" s="4107"/>
      <c r="F144" s="4107"/>
      <c r="G144" s="4107"/>
      <c r="H144" s="4107"/>
      <c r="I144" s="4107"/>
      <c r="J144" s="4107"/>
      <c r="K144" s="4107"/>
      <c r="L144" s="4107"/>
      <c r="M144" s="4107"/>
      <c r="N144" s="4107"/>
      <c r="O144" s="128" t="s">
        <v>697</v>
      </c>
      <c r="P144" s="430"/>
      <c r="Q144" s="421"/>
    </row>
    <row r="145" spans="1:44" ht="21.75" customHeight="1">
      <c r="A145" s="110" t="s">
        <v>1957</v>
      </c>
      <c r="B145" s="4107" t="s">
        <v>3707</v>
      </c>
      <c r="C145" s="4107"/>
      <c r="D145" s="4107"/>
      <c r="E145" s="4107"/>
      <c r="F145" s="4107"/>
      <c r="G145" s="4107"/>
      <c r="H145" s="4107"/>
      <c r="I145" s="4107"/>
      <c r="J145" s="4107"/>
      <c r="K145" s="4107"/>
      <c r="L145" s="4107"/>
      <c r="M145" s="4107"/>
      <c r="N145" s="4107"/>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65"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4426</v>
      </c>
      <c r="O151" s="101" t="s">
        <v>1726</v>
      </c>
      <c r="P151" s="4125"/>
      <c r="Q151" s="4114"/>
      <c r="R151" s="847" t="s">
        <v>4413</v>
      </c>
    </row>
    <row r="152" spans="1:44" customFormat="1" ht="11.65"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7" t="s">
        <v>3149</v>
      </c>
      <c r="D158" s="4107"/>
      <c r="E158" s="4107"/>
      <c r="F158" s="4107"/>
      <c r="G158" s="4107"/>
      <c r="H158" s="4107"/>
      <c r="I158" s="4107"/>
      <c r="J158" s="4107"/>
      <c r="K158" s="4107"/>
      <c r="L158" s="4107"/>
      <c r="M158" s="4107"/>
      <c r="N158" s="410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7" t="s">
        <v>2413</v>
      </c>
      <c r="D160" s="4107"/>
      <c r="E160" s="4107"/>
      <c r="F160" s="4107"/>
      <c r="G160" s="4107"/>
      <c r="H160" s="4107"/>
      <c r="I160" s="4107"/>
      <c r="J160" s="4107"/>
      <c r="K160" s="4107"/>
      <c r="L160" s="4107"/>
      <c r="M160" s="4107"/>
      <c r="N160" s="4107"/>
      <c r="O160" s="128" t="s">
        <v>1446</v>
      </c>
      <c r="P160" s="430"/>
      <c r="Q160" s="421"/>
    </row>
    <row r="161" spans="1:44" s="102" customFormat="1" ht="21.75" customHeight="1">
      <c r="A161" s="110"/>
      <c r="B161" s="371" t="s">
        <v>1447</v>
      </c>
      <c r="C161" s="4107" t="s">
        <v>3220</v>
      </c>
      <c r="D161" s="4107"/>
      <c r="E161" s="4107"/>
      <c r="F161" s="4107"/>
      <c r="G161" s="4107"/>
      <c r="H161" s="4107"/>
      <c r="I161" s="4107"/>
      <c r="J161" s="4107"/>
      <c r="K161" s="4107"/>
      <c r="L161" s="4107"/>
      <c r="M161" s="4107"/>
      <c r="N161" s="4107"/>
      <c r="O161" s="128" t="s">
        <v>1447</v>
      </c>
      <c r="P161" s="430"/>
      <c r="Q161" s="421"/>
    </row>
    <row r="162" spans="1:44" ht="21.75" customHeight="1">
      <c r="A162" s="110" t="s">
        <v>1957</v>
      </c>
      <c r="B162" s="4107" t="s">
        <v>2414</v>
      </c>
      <c r="C162" s="4107"/>
      <c r="D162" s="4107"/>
      <c r="E162" s="4107"/>
      <c r="F162" s="4107"/>
      <c r="G162" s="4107"/>
      <c r="H162" s="4107"/>
      <c r="I162" s="4107"/>
      <c r="J162" s="4107"/>
      <c r="K162" s="4107"/>
      <c r="L162" s="4107"/>
      <c r="M162" s="4107"/>
      <c r="N162" s="410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65"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4426</v>
      </c>
      <c r="O169" s="101" t="s">
        <v>1726</v>
      </c>
      <c r="P169" s="4125"/>
      <c r="Q169" s="4114"/>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1" t="s">
        <v>1705</v>
      </c>
      <c r="K171" s="4202"/>
      <c r="L171" s="4202"/>
      <c r="M171" s="4202"/>
      <c r="N171" s="4209"/>
      <c r="O171" s="49" t="s">
        <v>1611</v>
      </c>
      <c r="P171" s="175"/>
      <c r="Q171" s="418"/>
    </row>
    <row r="172" spans="1:44" ht="12.75" customHeight="1">
      <c r="A172" s="107"/>
      <c r="B172" s="109" t="s">
        <v>3154</v>
      </c>
      <c r="C172" s="82"/>
      <c r="D172" s="82"/>
      <c r="E172" s="82"/>
      <c r="F172" s="82"/>
      <c r="H172" s="49" t="s">
        <v>1612</v>
      </c>
      <c r="I172" s="29" t="s">
        <v>1489</v>
      </c>
      <c r="J172" s="4115" t="s">
        <v>1705</v>
      </c>
      <c r="K172" s="4116"/>
      <c r="L172" s="4116"/>
      <c r="M172" s="4116"/>
      <c r="N172" s="4117"/>
      <c r="O172" s="49" t="s">
        <v>1612</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4426</v>
      </c>
      <c r="O177" s="101" t="s">
        <v>1726</v>
      </c>
      <c r="P177" s="4125"/>
      <c r="Q177" s="4114"/>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7" t="s">
        <v>1708</v>
      </c>
      <c r="C179" s="4107"/>
      <c r="D179" s="4107"/>
      <c r="E179" s="4107"/>
      <c r="F179" s="4107"/>
      <c r="G179" s="4107"/>
      <c r="H179" s="49" t="s">
        <v>1611</v>
      </c>
      <c r="I179" s="29" t="s">
        <v>591</v>
      </c>
      <c r="J179" s="4201" t="s">
        <v>1705</v>
      </c>
      <c r="K179" s="4202"/>
      <c r="L179" s="4202"/>
      <c r="M179" s="4202"/>
      <c r="N179" s="4209"/>
      <c r="O179" s="128" t="s">
        <v>1389</v>
      </c>
      <c r="P179" s="1224"/>
      <c r="Q179" s="1225"/>
    </row>
    <row r="180" spans="1:44" ht="12.75" customHeight="1">
      <c r="A180" s="118"/>
      <c r="B180" s="4107"/>
      <c r="C180" s="4107"/>
      <c r="D180" s="4107"/>
      <c r="E180" s="4107"/>
      <c r="F180" s="4107"/>
      <c r="G180" s="4107"/>
      <c r="H180" s="49" t="s">
        <v>1612</v>
      </c>
      <c r="I180" s="29" t="s">
        <v>110</v>
      </c>
      <c r="J180" s="4115" t="s">
        <v>1705</v>
      </c>
      <c r="K180" s="4116"/>
      <c r="L180" s="4116"/>
      <c r="M180" s="4116"/>
      <c r="N180" s="4117"/>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1" t="s">
        <v>1641</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4611</v>
      </c>
      <c r="E193" s="33"/>
      <c r="F193" s="33"/>
      <c r="G193" s="33"/>
      <c r="H193" s="33"/>
      <c r="I193" s="35"/>
      <c r="J193" s="49" t="s">
        <v>1390</v>
      </c>
      <c r="K193" s="4154" t="s">
        <v>1641</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4089</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151" t="s">
        <v>1641</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4" t="s">
        <v>3730</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6" t="s">
        <v>949</v>
      </c>
      <c r="D199" s="4137"/>
      <c r="E199" s="4137"/>
      <c r="F199" s="4137"/>
      <c r="G199" s="4138"/>
      <c r="H199" s="48" t="s">
        <v>1958</v>
      </c>
      <c r="I199" s="4111" t="s">
        <v>3311</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6" t="s">
        <v>949</v>
      </c>
      <c r="D200" s="4127"/>
      <c r="E200" s="4127"/>
      <c r="F200" s="4127"/>
      <c r="G200" s="4128"/>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6" t="s">
        <v>949</v>
      </c>
      <c r="D201" s="4127"/>
      <c r="E201" s="4127"/>
      <c r="F201" s="4127"/>
      <c r="G201" s="4128"/>
      <c r="H201" s="48" t="s">
        <v>1608</v>
      </c>
      <c r="I201" s="3004" t="s">
        <v>3311</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56" t="s">
        <v>949</v>
      </c>
      <c r="D202" s="4157"/>
      <c r="E202" s="4157"/>
      <c r="F202" s="4157"/>
      <c r="G202" s="4158"/>
      <c r="H202" s="48" t="s">
        <v>3740</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7" t="s">
        <v>4636</v>
      </c>
      <c r="D209" s="4107"/>
      <c r="E209" s="4107"/>
      <c r="F209" s="4107"/>
      <c r="G209" s="4107"/>
      <c r="H209" s="4107"/>
      <c r="I209" s="4107"/>
      <c r="J209" s="4107"/>
      <c r="K209" s="4107"/>
      <c r="L209" s="4107"/>
      <c r="M209" s="4107"/>
      <c r="N209" s="4107"/>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4013</v>
      </c>
      <c r="C217" s="33"/>
      <c r="D217" s="874"/>
      <c r="E217" s="874"/>
      <c r="F217" s="874"/>
      <c r="G217" s="874"/>
      <c r="H217" s="874"/>
      <c r="I217" s="874"/>
      <c r="J217" s="874"/>
      <c r="K217" s="395" t="s">
        <v>4632</v>
      </c>
      <c r="L217" s="1263" t="e">
        <f>#REF!</f>
        <v>#REF!</v>
      </c>
      <c r="M217" s="874"/>
      <c r="O217" s="101" t="s">
        <v>1726</v>
      </c>
      <c r="P217" s="4125"/>
      <c r="Q217" s="4114"/>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7" t="s">
        <v>4015</v>
      </c>
      <c r="C229" s="4107"/>
      <c r="D229" s="4107"/>
      <c r="E229" s="4107"/>
      <c r="F229" s="4107"/>
      <c r="G229" s="4107"/>
      <c r="H229" s="4107"/>
      <c r="I229" s="4107"/>
      <c r="J229" s="4107"/>
      <c r="K229" s="4107"/>
      <c r="L229" s="4107"/>
      <c r="M229" s="4107"/>
      <c r="N229" s="4107"/>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70" t="s">
        <v>1641</v>
      </c>
      <c r="L238" s="4171"/>
      <c r="M238" s="4171"/>
      <c r="N238" s="4171"/>
      <c r="O238" s="4172"/>
      <c r="P238" s="4168" t="s">
        <v>1641</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4091</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7" t="s">
        <v>4102</v>
      </c>
      <c r="D243" s="4107"/>
      <c r="E243" s="4107"/>
      <c r="F243" s="4107"/>
      <c r="G243" s="4107"/>
      <c r="H243" s="4107"/>
      <c r="I243" s="4107"/>
      <c r="J243" s="4107"/>
      <c r="K243" s="4107"/>
      <c r="L243" s="4107"/>
      <c r="M243" s="4107"/>
      <c r="N243" s="4107"/>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7" t="s">
        <v>4103</v>
      </c>
      <c r="D244" s="4107"/>
      <c r="E244" s="4107"/>
      <c r="F244" s="4107"/>
      <c r="G244" s="4107"/>
      <c r="H244" s="4107"/>
      <c r="I244" s="4107"/>
      <c r="J244" s="4107"/>
      <c r="K244" s="4107"/>
      <c r="L244" s="4107"/>
      <c r="M244" s="4107"/>
      <c r="N244" s="4107"/>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3159</v>
      </c>
      <c r="C246" s="4267"/>
      <c r="D246" s="4267"/>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4398</v>
      </c>
      <c r="F250" s="4107"/>
      <c r="G250" s="4107"/>
      <c r="H250" s="4107"/>
      <c r="I250" s="4107"/>
      <c r="J250" s="4107"/>
      <c r="K250" s="4107"/>
      <c r="L250" s="4107"/>
      <c r="M250" s="4107"/>
      <c r="N250" s="4107"/>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7" t="s">
        <v>3900</v>
      </c>
      <c r="D257" s="4107"/>
      <c r="E257" s="4107"/>
      <c r="F257" s="4107"/>
      <c r="G257" s="4107"/>
      <c r="H257" s="4107"/>
      <c r="I257" s="4107"/>
      <c r="J257" s="4107"/>
      <c r="K257" s="4107"/>
      <c r="L257" s="4107"/>
      <c r="M257" s="4107"/>
      <c r="N257" s="4107"/>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7" t="s">
        <v>3925</v>
      </c>
      <c r="D260" s="4107"/>
      <c r="E260" s="4107"/>
      <c r="F260" s="4107"/>
      <c r="G260" s="4107"/>
      <c r="H260" s="4107"/>
      <c r="I260" s="4107"/>
      <c r="J260" s="4107"/>
      <c r="K260" s="4107"/>
      <c r="L260" s="4107"/>
      <c r="M260" s="4107"/>
      <c r="N260" s="4107"/>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7" t="s">
        <v>4020</v>
      </c>
      <c r="C262" s="4107"/>
      <c r="D262" s="4107"/>
      <c r="E262" s="4107"/>
      <c r="F262" s="4107"/>
      <c r="G262" s="4107"/>
      <c r="H262" s="4107"/>
      <c r="I262" s="4107"/>
      <c r="J262" s="4107"/>
      <c r="K262" s="4107"/>
      <c r="L262" s="4107"/>
      <c r="M262" s="4107"/>
      <c r="N262" s="4107"/>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7" t="s">
        <v>3722</v>
      </c>
      <c r="D271" s="4107"/>
      <c r="E271" s="4107"/>
      <c r="F271" s="4107"/>
      <c r="G271" s="4107"/>
      <c r="H271" s="4107"/>
      <c r="I271" s="4107"/>
      <c r="J271" s="4107"/>
      <c r="K271" s="4107"/>
      <c r="L271" s="4107"/>
      <c r="M271" s="4107"/>
      <c r="N271" s="4107"/>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7" t="s">
        <v>2500</v>
      </c>
      <c r="D272" s="4107"/>
      <c r="E272" s="4107"/>
      <c r="F272" s="4107"/>
      <c r="G272" s="4107"/>
      <c r="H272" s="4107"/>
      <c r="I272" s="4107"/>
      <c r="J272" s="4107"/>
      <c r="K272" s="4107"/>
      <c r="L272" s="4107"/>
      <c r="M272" s="4107"/>
      <c r="N272" s="4107"/>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8" t="s">
        <v>3247</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7" t="s">
        <v>4549</v>
      </c>
      <c r="D284" s="4107"/>
      <c r="E284" s="4107"/>
      <c r="F284" s="4107"/>
      <c r="G284" s="4107"/>
      <c r="H284" s="4107"/>
      <c r="I284" s="4107"/>
      <c r="J284" s="4107"/>
      <c r="K284" s="4107"/>
      <c r="L284" s="4107"/>
      <c r="M284" s="4107"/>
      <c r="N284" s="4107"/>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7" t="s">
        <v>4550</v>
      </c>
      <c r="D285" s="4107"/>
      <c r="E285" s="4107"/>
      <c r="F285" s="4107"/>
      <c r="G285" s="4107"/>
      <c r="H285" s="4107"/>
      <c r="I285" s="4107"/>
      <c r="J285" s="4107"/>
      <c r="K285" s="4107"/>
      <c r="L285" s="4107"/>
      <c r="M285" s="4107"/>
      <c r="N285" s="4107"/>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7" t="s">
        <v>4097</v>
      </c>
      <c r="D286" s="4107"/>
      <c r="E286" s="4107"/>
      <c r="F286" s="4107"/>
      <c r="G286" s="4107"/>
      <c r="H286" s="4107"/>
      <c r="I286" s="4107"/>
      <c r="J286" s="4107"/>
      <c r="K286" s="4107"/>
      <c r="L286" s="4107"/>
      <c r="M286" s="4107"/>
      <c r="N286" s="4107"/>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7" t="s">
        <v>4100</v>
      </c>
      <c r="E288" s="4107"/>
      <c r="F288" s="4107"/>
      <c r="G288" s="4107"/>
      <c r="H288" s="4107"/>
      <c r="I288" s="108"/>
      <c r="J288" s="4166" t="s">
        <v>3180</v>
      </c>
      <c r="K288" s="4134"/>
      <c r="L288" s="4134"/>
      <c r="M288" s="4179" t="s">
        <v>3161</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7" t="s">
        <v>4101</v>
      </c>
      <c r="E291" s="4107"/>
      <c r="F291" s="4107"/>
      <c r="G291" s="4107"/>
      <c r="H291" s="4107"/>
      <c r="I291" s="369" t="s">
        <v>3298</v>
      </c>
      <c r="J291" s="144"/>
      <c r="K291" s="1508"/>
      <c r="L291" s="782" t="e">
        <f>IF(K291&lt;M291,"Check!!!","")</f>
        <v>#REF!</v>
      </c>
      <c r="M291" s="1510" t="e">
        <f>ROUNDUP(K290*'Part VII-Threshold Criteria OLD'!N291,0)</f>
        <v>#REF!</v>
      </c>
      <c r="N291" s="1146" t="e">
        <f>#REF!</f>
        <v>#REF!</v>
      </c>
      <c r="O291" s="48" t="s">
        <v>1959</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7" t="s">
        <v>4633</v>
      </c>
      <c r="D293" s="4107"/>
      <c r="E293" s="4107"/>
      <c r="F293" s="4107"/>
      <c r="G293" s="4107"/>
      <c r="H293" s="4107"/>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4612</v>
      </c>
      <c r="C297" s="4107"/>
      <c r="D297" s="4107"/>
      <c r="E297" s="4107"/>
      <c r="F297" s="4107"/>
      <c r="G297" s="4107"/>
      <c r="H297" s="4107"/>
      <c r="I297" s="4107"/>
      <c r="J297" s="4107"/>
      <c r="K297" s="4107"/>
      <c r="L297" s="4107"/>
      <c r="M297" s="4107"/>
      <c r="N297" s="4107"/>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7" t="s">
        <v>4551</v>
      </c>
      <c r="D299" s="4107"/>
      <c r="E299" s="4107"/>
      <c r="F299" s="4107"/>
      <c r="G299" s="4107"/>
      <c r="H299" s="4107"/>
      <c r="I299" s="4107"/>
      <c r="J299" s="4107"/>
      <c r="K299" s="4107"/>
      <c r="L299" s="4107"/>
      <c r="M299" s="4107"/>
      <c r="N299" s="4107"/>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7" t="s">
        <v>3708</v>
      </c>
      <c r="D300" s="4107"/>
      <c r="E300" s="4107"/>
      <c r="F300" s="4107"/>
      <c r="G300" s="4107"/>
      <c r="H300" s="4107"/>
      <c r="I300" s="4107"/>
      <c r="J300" s="4107"/>
      <c r="K300" s="4107"/>
      <c r="L300" s="4107"/>
      <c r="M300" s="4107"/>
      <c r="N300" s="4107"/>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7" t="s">
        <v>3083</v>
      </c>
      <c r="D301" s="4107"/>
      <c r="E301" s="4107"/>
      <c r="F301" s="4107"/>
      <c r="G301" s="4107"/>
      <c r="H301" s="4107"/>
      <c r="I301" s="4107"/>
      <c r="J301" s="4107"/>
      <c r="K301" s="4107"/>
      <c r="L301" s="4107"/>
      <c r="M301" s="4107"/>
      <c r="N301" s="4107"/>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7" t="s">
        <v>3084</v>
      </c>
      <c r="D302" s="4107"/>
      <c r="E302" s="4107"/>
      <c r="F302" s="4107"/>
      <c r="G302" s="4107"/>
      <c r="H302" s="4107"/>
      <c r="I302" s="4107"/>
      <c r="J302" s="4107"/>
      <c r="K302" s="4107"/>
      <c r="L302" s="4107"/>
      <c r="M302" s="4107"/>
      <c r="N302" s="4107"/>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3662</v>
      </c>
      <c r="E310" s="33"/>
      <c r="F310" s="33"/>
      <c r="G310" s="33"/>
      <c r="H310" s="33"/>
      <c r="I310" s="72"/>
      <c r="J310" s="48"/>
      <c r="K310" s="4170" t="s">
        <v>1641</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4562</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4561</v>
      </c>
      <c r="C312" s="4107"/>
      <c r="D312" s="4107"/>
      <c r="E312" s="4107"/>
      <c r="F312" s="4107"/>
      <c r="G312" s="4107"/>
      <c r="H312" s="4107"/>
      <c r="I312" s="4107"/>
      <c r="J312" s="4107"/>
      <c r="K312" s="4107"/>
      <c r="L312" s="4107"/>
      <c r="M312" s="4107"/>
      <c r="N312" s="4107"/>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2" t="s">
        <v>2141</v>
      </c>
      <c r="H314" s="4223"/>
      <c r="I314" s="4223"/>
      <c r="J314" s="4223"/>
      <c r="K314" s="4223"/>
      <c r="L314" s="4223"/>
      <c r="M314" s="4223"/>
      <c r="N314" s="422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7" t="s">
        <v>1065</v>
      </c>
      <c r="D315" s="4107"/>
      <c r="E315" s="4107"/>
      <c r="F315" s="4175"/>
      <c r="G315" s="3043" t="s">
        <v>1017</v>
      </c>
      <c r="H315" s="4217"/>
      <c r="I315" s="4217"/>
      <c r="J315" s="4217"/>
      <c r="K315" s="4217"/>
      <c r="L315" s="4217"/>
      <c r="M315" s="4217"/>
      <c r="N315" s="421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266" t="s">
        <v>4022</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9"/>
      <c r="D318" s="4230"/>
      <c r="E318" s="4230"/>
      <c r="F318" s="4230"/>
      <c r="G318" s="4230"/>
      <c r="H318" s="4230"/>
      <c r="I318" s="4230"/>
      <c r="J318" s="4230"/>
      <c r="K318" s="4230"/>
      <c r="L318" s="4230"/>
      <c r="M318" s="4230"/>
      <c r="N318" s="4231"/>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6"/>
      <c r="D319" s="4157"/>
      <c r="E319" s="4157"/>
      <c r="F319" s="4157"/>
      <c r="G319" s="4157"/>
      <c r="H319" s="4157"/>
      <c r="I319" s="4157"/>
      <c r="J319" s="4157"/>
      <c r="K319" s="4157"/>
      <c r="L319" s="4157"/>
      <c r="M319" s="4157"/>
      <c r="N319" s="4158"/>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7" t="s">
        <v>4023</v>
      </c>
      <c r="C320" s="4107"/>
      <c r="D320" s="4107"/>
      <c r="E320" s="4107"/>
      <c r="F320" s="4107"/>
      <c r="G320" s="4107"/>
      <c r="H320" s="4107"/>
      <c r="I320" s="4107"/>
      <c r="J320" s="4107"/>
      <c r="K320" s="4107"/>
      <c r="L320" s="4107"/>
      <c r="M320" s="4107"/>
      <c r="N320" s="4107"/>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4"/>
      <c r="B323" s="4105"/>
      <c r="C323" s="4105"/>
      <c r="D323" s="4105"/>
      <c r="E323" s="4105"/>
      <c r="F323" s="4105"/>
      <c r="G323" s="4105"/>
      <c r="H323" s="4105"/>
      <c r="I323" s="4105"/>
      <c r="J323" s="4105"/>
      <c r="K323" s="4105"/>
      <c r="L323" s="4105"/>
      <c r="M323" s="4105"/>
      <c r="N323" s="4105"/>
      <c r="O323" s="4105"/>
      <c r="P323" s="4105"/>
      <c r="Q323" s="410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25"/>
      <c r="Q326" s="4114"/>
      <c r="R326" s="847" t="s">
        <v>4413</v>
      </c>
    </row>
    <row r="327" spans="1:256" ht="11.65" customHeight="1">
      <c r="A327" s="40" t="s">
        <v>1836</v>
      </c>
      <c r="B327" s="44" t="s">
        <v>4422</v>
      </c>
      <c r="O327" s="128" t="s">
        <v>1836</v>
      </c>
      <c r="P327" s="175"/>
      <c r="Q327" s="418"/>
    </row>
    <row r="328" spans="1:256" ht="11.65" customHeight="1">
      <c r="A328" s="110" t="s">
        <v>1838</v>
      </c>
      <c r="B328" s="44" t="s">
        <v>4429</v>
      </c>
      <c r="O328" s="128" t="s">
        <v>1838</v>
      </c>
      <c r="P328" s="1669"/>
      <c r="Q328" s="675"/>
    </row>
    <row r="329" spans="1:256" ht="11.65" customHeight="1">
      <c r="A329" s="110" t="s">
        <v>697</v>
      </c>
      <c r="B329" s="44" t="s">
        <v>4430</v>
      </c>
      <c r="K329" s="231"/>
      <c r="M329" s="128" t="s">
        <v>697</v>
      </c>
      <c r="N329" s="4225" t="s">
        <v>1641</v>
      </c>
      <c r="O329" s="4226"/>
      <c r="P329" s="4227" t="s">
        <v>1641</v>
      </c>
      <c r="Q329" s="4228"/>
    </row>
    <row r="330" spans="1:256" ht="11.65" customHeight="1">
      <c r="A330" s="40" t="s">
        <v>1957</v>
      </c>
      <c r="B330" s="44" t="s">
        <v>4431</v>
      </c>
      <c r="O330" s="48" t="s">
        <v>1957</v>
      </c>
      <c r="P330" s="1337"/>
      <c r="Q330" s="1336"/>
    </row>
    <row r="331" spans="1:256" ht="11.65" customHeight="1">
      <c r="A331" s="110" t="s">
        <v>1609</v>
      </c>
      <c r="B331" s="44" t="s">
        <v>4432</v>
      </c>
      <c r="N331" s="128" t="s">
        <v>1609</v>
      </c>
      <c r="O331" s="4219" t="s">
        <v>2552</v>
      </c>
      <c r="P331" s="4220"/>
      <c r="Q331" s="4221"/>
    </row>
    <row r="332" spans="1:256" ht="11.65" customHeight="1">
      <c r="A332" s="110" t="s">
        <v>1610</v>
      </c>
      <c r="B332" s="67" t="s">
        <v>2164</v>
      </c>
      <c r="N332" s="128" t="s">
        <v>1610</v>
      </c>
      <c r="O332" s="4176" t="s">
        <v>2552</v>
      </c>
      <c r="P332" s="4177"/>
      <c r="Q332" s="4178"/>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9"/>
      <c r="Q338" s="4260"/>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7" t="s">
        <v>4579</v>
      </c>
      <c r="C341" s="4107"/>
      <c r="D341" s="4107"/>
      <c r="E341" s="4107"/>
      <c r="F341" s="4107"/>
      <c r="G341" s="4107"/>
      <c r="H341" s="4107"/>
      <c r="I341" s="4107"/>
      <c r="J341" s="4107"/>
      <c r="K341" s="4107"/>
      <c r="L341" s="4107"/>
      <c r="M341" s="4107"/>
      <c r="N341" s="4107"/>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4634</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7" t="s">
        <v>4580</v>
      </c>
      <c r="C344" s="4107"/>
      <c r="D344" s="4107"/>
      <c r="E344" s="4107"/>
      <c r="F344" s="4107"/>
      <c r="G344" s="4107"/>
      <c r="H344" s="4107"/>
      <c r="I344" s="4107"/>
      <c r="J344" s="4107"/>
      <c r="K344" s="4107"/>
      <c r="L344" s="4107"/>
      <c r="M344" s="4107"/>
      <c r="N344" s="4107"/>
      <c r="O344" s="128" t="s">
        <v>1838</v>
      </c>
      <c r="P344" s="892"/>
      <c r="Q344" s="893"/>
    </row>
    <row r="345" spans="1:44" s="115" customFormat="1">
      <c r="A345" s="110"/>
      <c r="B345" s="1161"/>
      <c r="C345" s="29" t="s">
        <v>1662</v>
      </c>
      <c r="D345" s="29"/>
      <c r="E345" s="1455" t="e">
        <f>#REF!</f>
        <v>#REF!</v>
      </c>
      <c r="F345" s="29" t="s">
        <v>4582</v>
      </c>
      <c r="H345" s="72"/>
      <c r="L345" s="1848"/>
      <c r="M345" s="48" t="s">
        <v>4634</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7" t="s">
        <v>4581</v>
      </c>
      <c r="C346" s="4107"/>
      <c r="D346" s="4107"/>
      <c r="E346" s="4107"/>
      <c r="F346" s="4107"/>
      <c r="G346" s="4107"/>
      <c r="H346" s="4107"/>
      <c r="I346" s="4107"/>
      <c r="J346" s="4107"/>
      <c r="K346" s="4107"/>
      <c r="L346" s="4107"/>
      <c r="M346" s="4107"/>
      <c r="N346" s="4107"/>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4634</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3"/>
      <c r="Q354" s="4114"/>
    </row>
    <row r="355" spans="1:31" ht="10.5" customHeight="1">
      <c r="A355" s="40" t="s">
        <v>1836</v>
      </c>
      <c r="B355" s="29" t="s">
        <v>3269</v>
      </c>
      <c r="D355" s="118"/>
      <c r="E355" s="118"/>
      <c r="F355" s="118"/>
      <c r="G355" s="118"/>
      <c r="H355" s="48" t="s">
        <v>1836</v>
      </c>
      <c r="I355" s="4118"/>
      <c r="J355" s="4119"/>
      <c r="K355" s="4119"/>
      <c r="L355" s="4119"/>
      <c r="M355" s="4119"/>
      <c r="N355" s="4119"/>
      <c r="O355" s="4119"/>
      <c r="P355" s="4120"/>
      <c r="Q355" s="418"/>
    </row>
    <row r="356" spans="1:31" ht="10.5" customHeight="1">
      <c r="A356" s="110" t="s">
        <v>1838</v>
      </c>
      <c r="B356" s="29" t="s">
        <v>3270</v>
      </c>
      <c r="D356" s="118"/>
      <c r="E356" s="118"/>
      <c r="F356" s="118"/>
      <c r="G356" s="118"/>
      <c r="H356" s="128" t="s">
        <v>1838</v>
      </c>
      <c r="I356" s="4115"/>
      <c r="J356" s="4116"/>
      <c r="K356" s="4116"/>
      <c r="L356" s="4116"/>
      <c r="M356" s="4116"/>
      <c r="N356" s="4116"/>
      <c r="O356" s="4116"/>
      <c r="P356" s="4117"/>
      <c r="Q356" s="420"/>
    </row>
    <row r="357" spans="1:31" ht="21.75" customHeight="1">
      <c r="A357" s="110" t="s">
        <v>697</v>
      </c>
      <c r="B357" s="4264" t="s">
        <v>3261</v>
      </c>
      <c r="C357" s="4264"/>
      <c r="D357" s="4264"/>
      <c r="E357" s="4264"/>
      <c r="F357" s="4264"/>
      <c r="G357" s="4264"/>
      <c r="H357" s="4264"/>
      <c r="I357" s="4264"/>
      <c r="J357" s="4264"/>
      <c r="K357" s="4264"/>
      <c r="L357" s="4264"/>
      <c r="M357" s="4264"/>
      <c r="N357" s="4264"/>
      <c r="O357" s="128" t="s">
        <v>697</v>
      </c>
      <c r="P357" s="825"/>
      <c r="Q357" s="880"/>
    </row>
    <row r="358" spans="1:31" ht="21.75" customHeight="1">
      <c r="A358" s="110" t="s">
        <v>1957</v>
      </c>
      <c r="B358" s="4107" t="s">
        <v>3262</v>
      </c>
      <c r="C358" s="4107"/>
      <c r="D358" s="4107"/>
      <c r="E358" s="4107"/>
      <c r="F358" s="4107"/>
      <c r="G358" s="4107"/>
      <c r="H358" s="4107"/>
      <c r="I358" s="4107"/>
      <c r="J358" s="4107"/>
      <c r="K358" s="4107"/>
      <c r="L358" s="4107"/>
      <c r="M358" s="4107"/>
      <c r="N358" s="4107"/>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7" t="s">
        <v>3264</v>
      </c>
      <c r="C360" s="4107"/>
      <c r="D360" s="4107"/>
      <c r="E360" s="4107"/>
      <c r="F360" s="4107"/>
      <c r="G360" s="4107"/>
      <c r="H360" s="4107"/>
      <c r="I360" s="4107"/>
      <c r="J360" s="4107"/>
      <c r="K360" s="4107"/>
      <c r="L360" s="4107"/>
      <c r="M360" s="4107"/>
      <c r="N360" s="4107"/>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7" t="s">
        <v>3266</v>
      </c>
      <c r="C363" s="4107"/>
      <c r="D363" s="4107"/>
      <c r="E363" s="4107"/>
      <c r="F363" s="4107"/>
      <c r="G363" s="4107"/>
      <c r="H363" s="4107"/>
      <c r="I363" s="4107"/>
      <c r="J363" s="4107"/>
      <c r="K363" s="4107"/>
      <c r="L363" s="4107"/>
      <c r="M363" s="4107"/>
      <c r="N363" s="4107"/>
      <c r="O363" s="128" t="s">
        <v>2932</v>
      </c>
      <c r="P363" s="881"/>
      <c r="Q363" s="880"/>
    </row>
    <row r="364" spans="1:31" ht="33" customHeight="1">
      <c r="A364" s="110" t="s">
        <v>572</v>
      </c>
      <c r="B364" s="4107" t="s">
        <v>3267</v>
      </c>
      <c r="C364" s="4107"/>
      <c r="D364" s="4107"/>
      <c r="E364" s="4107"/>
      <c r="F364" s="4107"/>
      <c r="G364" s="4107"/>
      <c r="H364" s="4107"/>
      <c r="I364" s="4107"/>
      <c r="J364" s="4107"/>
      <c r="K364" s="4107"/>
      <c r="L364" s="4107"/>
      <c r="M364" s="4107"/>
      <c r="N364" s="4107"/>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5"/>
      <c r="Q371" s="4114"/>
    </row>
    <row r="372" spans="1:31" ht="11.65" customHeight="1">
      <c r="A372" s="40" t="s">
        <v>1836</v>
      </c>
      <c r="B372" s="32" t="s">
        <v>969</v>
      </c>
      <c r="E372" s="4239"/>
      <c r="F372" s="4240"/>
      <c r="G372" s="4240"/>
      <c r="H372" s="4240"/>
      <c r="I372" s="4241"/>
      <c r="J372" s="4242" t="s">
        <v>2430</v>
      </c>
      <c r="K372" s="4243"/>
      <c r="L372" s="4244"/>
      <c r="M372" s="4239"/>
      <c r="N372" s="4240"/>
      <c r="O372" s="4240"/>
      <c r="P372" s="4240"/>
      <c r="Q372" s="4241"/>
    </row>
    <row r="373" spans="1:31" s="102" customFormat="1" ht="22.5" customHeight="1">
      <c r="A373" s="110" t="s">
        <v>1838</v>
      </c>
      <c r="B373" s="4107" t="s">
        <v>2997</v>
      </c>
      <c r="C373" s="4107"/>
      <c r="D373" s="4107"/>
      <c r="E373" s="4107"/>
      <c r="F373" s="4107"/>
      <c r="G373" s="4107"/>
      <c r="H373" s="4107"/>
      <c r="I373" s="4107"/>
      <c r="J373" s="4107"/>
      <c r="K373" s="4107"/>
      <c r="L373" s="4107"/>
      <c r="M373" s="4107"/>
      <c r="N373" s="4107"/>
      <c r="O373" s="128" t="s">
        <v>1838</v>
      </c>
      <c r="P373" s="430"/>
      <c r="Q373" s="421"/>
    </row>
    <row r="374" spans="1:31">
      <c r="A374" s="110" t="s">
        <v>697</v>
      </c>
      <c r="B374" s="44" t="s">
        <v>3116</v>
      </c>
      <c r="G374" s="876"/>
      <c r="H374" s="876"/>
      <c r="I374" s="876"/>
      <c r="J374" s="33" t="s">
        <v>3117</v>
      </c>
      <c r="L374" s="876"/>
      <c r="M374" s="4245" t="e">
        <f>#REF!</f>
        <v>#REF!</v>
      </c>
      <c r="N374" s="4246"/>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65"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25"/>
      <c r="Q380" s="4235"/>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283"/>
      <c r="I385" s="4284"/>
      <c r="J385" s="4284"/>
      <c r="K385" s="4284"/>
      <c r="L385" s="4284"/>
      <c r="M385" s="4284"/>
      <c r="N385" s="4284"/>
      <c r="O385" s="4285"/>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65"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259"/>
      <c r="Q391" s="4260"/>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7"/>
      <c r="Q395" s="4205"/>
    </row>
    <row r="396" spans="1:31" ht="12" customHeight="1">
      <c r="A396" s="40"/>
      <c r="D396" s="29" t="s">
        <v>4397</v>
      </c>
      <c r="E396" s="29"/>
      <c r="F396" s="29"/>
      <c r="G396" s="29"/>
      <c r="H396" s="29"/>
      <c r="I396" s="29"/>
      <c r="J396" s="29"/>
      <c r="K396" s="29"/>
      <c r="L396" s="29"/>
      <c r="M396" s="29"/>
      <c r="N396" s="35"/>
      <c r="O396" s="1335"/>
      <c r="P396" s="4208"/>
      <c r="Q396" s="4206"/>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7" t="s">
        <v>4050</v>
      </c>
      <c r="D400" s="4107"/>
      <c r="E400" s="4107"/>
      <c r="F400" s="4107"/>
      <c r="G400" s="29" t="s">
        <v>3817</v>
      </c>
      <c r="J400" s="705"/>
      <c r="K400" s="425"/>
      <c r="M400" s="29" t="s">
        <v>4121</v>
      </c>
      <c r="P400" s="1670"/>
      <c r="Q400" s="1671"/>
    </row>
    <row r="401" spans="1:44" ht="12" customHeight="1">
      <c r="A401" s="40"/>
      <c r="C401" s="4107"/>
      <c r="D401" s="4107"/>
      <c r="E401" s="4107"/>
      <c r="F401" s="4107"/>
      <c r="G401" s="29" t="s">
        <v>4120</v>
      </c>
      <c r="J401" s="706"/>
      <c r="K401" s="426"/>
      <c r="M401" s="29" t="s">
        <v>4122</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4077</v>
      </c>
      <c r="J403" s="4166" t="s">
        <v>4078</v>
      </c>
      <c r="K403" s="4166" t="s">
        <v>4080</v>
      </c>
      <c r="L403" s="4166"/>
      <c r="M403" s="4166"/>
      <c r="N403" s="4247" t="s">
        <v>4079</v>
      </c>
      <c r="O403" s="48"/>
      <c r="P403" s="4099" t="s">
        <v>4591</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4191</v>
      </c>
      <c r="D405" s="4107"/>
      <c r="E405" s="4107"/>
      <c r="F405" s="4107"/>
      <c r="G405" s="4107"/>
      <c r="H405" s="4107"/>
      <c r="I405" s="364">
        <f>K290</f>
        <v>0</v>
      </c>
      <c r="J405" s="1672"/>
      <c r="K405" s="4249"/>
      <c r="L405" s="4249"/>
      <c r="M405" s="4250"/>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4192</v>
      </c>
      <c r="D411" s="4107"/>
      <c r="E411" s="4107"/>
      <c r="F411" s="4107"/>
      <c r="G411" s="4107"/>
      <c r="H411" s="4107"/>
      <c r="I411" s="364">
        <f>K293</f>
        <v>0</v>
      </c>
      <c r="J411" s="1672"/>
      <c r="K411" s="4249"/>
      <c r="L411" s="4249"/>
      <c r="M411" s="4250"/>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282" t="s">
        <v>4125</v>
      </c>
      <c r="E416" s="351" t="s">
        <v>2257</v>
      </c>
      <c r="F416" s="44" t="s">
        <v>3202</v>
      </c>
      <c r="G416" s="4261"/>
      <c r="H416" s="4262"/>
      <c r="I416" s="4262"/>
      <c r="J416" s="4262"/>
      <c r="K416" s="4263"/>
      <c r="L416" s="351"/>
    </row>
    <row r="417" spans="1:31" ht="12" customHeight="1">
      <c r="B417" s="115"/>
      <c r="D417" s="4282"/>
      <c r="E417" s="351" t="s">
        <v>3814</v>
      </c>
      <c r="F417" s="44" t="s">
        <v>3815</v>
      </c>
      <c r="G417" s="4236" t="s">
        <v>3119</v>
      </c>
      <c r="H417" s="4237"/>
      <c r="I417" s="4238"/>
      <c r="J417" s="44" t="s">
        <v>3677</v>
      </c>
      <c r="K417" s="115"/>
      <c r="M417" s="4261"/>
      <c r="N417" s="4262"/>
      <c r="O417" s="4262"/>
      <c r="P417" s="4262"/>
      <c r="Q417" s="4263"/>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4253"/>
      <c r="C419" s="4254"/>
      <c r="D419" s="4254"/>
      <c r="E419" s="4254"/>
      <c r="F419" s="4254"/>
      <c r="G419" s="4254"/>
      <c r="H419" s="4254"/>
      <c r="I419" s="4254"/>
      <c r="J419" s="4254"/>
      <c r="K419" s="4254"/>
      <c r="L419" s="4254"/>
      <c r="M419" s="4254"/>
      <c r="N419" s="4254"/>
      <c r="O419" s="4254"/>
      <c r="P419" s="4254"/>
      <c r="Q419" s="4255"/>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1" t="s">
        <v>3904</v>
      </c>
      <c r="C421" s="4107"/>
      <c r="D421" s="4107"/>
      <c r="E421" s="4107"/>
      <c r="F421" s="4107"/>
      <c r="G421" s="4107"/>
      <c r="H421" s="4107"/>
      <c r="I421" s="4107"/>
      <c r="J421" s="4107"/>
      <c r="K421" s="4107"/>
      <c r="L421" s="4107"/>
      <c r="M421" s="4107"/>
      <c r="N421" s="4107"/>
    </row>
    <row r="422" spans="1:31" s="115" customFormat="1" ht="45" customHeight="1">
      <c r="B422" s="4107" t="s">
        <v>4437</v>
      </c>
      <c r="C422" s="4107"/>
      <c r="D422" s="4107"/>
      <c r="E422" s="4107"/>
      <c r="F422" s="4107"/>
      <c r="G422" s="4107"/>
      <c r="H422" s="4107"/>
      <c r="I422" s="4107"/>
      <c r="J422" s="4107"/>
      <c r="K422" s="4107"/>
      <c r="L422" s="4107"/>
      <c r="M422" s="4107"/>
      <c r="N422" s="4107"/>
      <c r="O422" s="128" t="s">
        <v>1838</v>
      </c>
      <c r="P422" s="892"/>
      <c r="Q422" s="893"/>
    </row>
    <row r="423" spans="1:31" ht="12" customHeight="1">
      <c r="B423" s="109" t="s">
        <v>3154</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25"/>
      <c r="Q428" s="4114"/>
    </row>
    <row r="429" spans="1:31" ht="14.1" customHeight="1">
      <c r="B429" s="66" t="s">
        <v>3772</v>
      </c>
      <c r="C429" s="4"/>
      <c r="D429" s="66"/>
      <c r="E429" s="874"/>
      <c r="F429" s="874"/>
      <c r="G429" s="874"/>
      <c r="H429" s="874"/>
    </row>
    <row r="430" spans="1:31" s="102" customFormat="1" ht="21.75" customHeight="1">
      <c r="A430" s="110" t="s">
        <v>1836</v>
      </c>
      <c r="B430" s="4107" t="s">
        <v>3225</v>
      </c>
      <c r="C430" s="4107"/>
      <c r="D430" s="4107"/>
      <c r="E430" s="4107"/>
      <c r="F430" s="4107"/>
      <c r="G430" s="4107"/>
      <c r="H430" s="4107"/>
      <c r="I430" s="4107"/>
      <c r="J430" s="4107"/>
      <c r="K430" s="4107"/>
      <c r="L430" s="4107"/>
      <c r="M430" s="4107"/>
      <c r="N430" s="4107"/>
      <c r="O430" s="128" t="s">
        <v>1836</v>
      </c>
      <c r="P430" s="881"/>
      <c r="Q430" s="880"/>
    </row>
    <row r="431" spans="1:31" s="102" customFormat="1" ht="22.5" customHeight="1">
      <c r="A431" s="110" t="s">
        <v>1838</v>
      </c>
      <c r="B431" s="4107" t="s">
        <v>3224</v>
      </c>
      <c r="C431" s="4107"/>
      <c r="D431" s="4107"/>
      <c r="E431" s="4107"/>
      <c r="F431" s="4107"/>
      <c r="G431" s="4107"/>
      <c r="H431" s="4107"/>
      <c r="I431" s="4107"/>
      <c r="J431" s="4107"/>
      <c r="K431" s="4107"/>
      <c r="L431" s="4107"/>
      <c r="M431" s="4107"/>
      <c r="N431" s="4107"/>
      <c r="O431" s="128" t="s">
        <v>1838</v>
      </c>
      <c r="P431" s="430"/>
      <c r="Q431" s="421"/>
    </row>
    <row r="432" spans="1:31" s="102" customFormat="1" ht="22.5" customHeight="1">
      <c r="B432" s="1161" t="s">
        <v>1611</v>
      </c>
      <c r="C432" s="4107" t="s">
        <v>3742</v>
      </c>
      <c r="D432" s="4107"/>
      <c r="E432" s="4107"/>
      <c r="F432" s="4107"/>
      <c r="G432" s="4107"/>
      <c r="H432" s="4107"/>
      <c r="I432" s="4107"/>
      <c r="J432" s="4107"/>
      <c r="K432" s="4107"/>
      <c r="L432" s="4107"/>
      <c r="M432" s="4107"/>
      <c r="N432" s="4107"/>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7" t="s">
        <v>3744</v>
      </c>
      <c r="D434" s="4107"/>
      <c r="E434" s="4107"/>
      <c r="F434" s="4107"/>
      <c r="G434" s="4107"/>
      <c r="H434" s="4107"/>
      <c r="I434" s="4107"/>
      <c r="J434" s="4107"/>
      <c r="K434" s="4107"/>
      <c r="L434" s="4107"/>
      <c r="M434" s="4107"/>
      <c r="N434" s="4107"/>
      <c r="O434" s="128" t="s">
        <v>1613</v>
      </c>
      <c r="P434" s="430"/>
      <c r="Q434" s="421"/>
    </row>
    <row r="435" spans="1:31" s="102" customFormat="1" ht="22.5" customHeight="1">
      <c r="B435" s="371" t="s">
        <v>2176</v>
      </c>
      <c r="C435" s="4107" t="s">
        <v>3745</v>
      </c>
      <c r="D435" s="4107"/>
      <c r="E435" s="4107"/>
      <c r="F435" s="4107"/>
      <c r="G435" s="4107"/>
      <c r="H435" s="4107"/>
      <c r="I435" s="4107"/>
      <c r="J435" s="4107"/>
      <c r="K435" s="4107"/>
      <c r="L435" s="4107"/>
      <c r="M435" s="4107"/>
      <c r="N435" s="4107"/>
      <c r="O435" s="128" t="s">
        <v>2176</v>
      </c>
      <c r="P435" s="430"/>
      <c r="Q435" s="421"/>
    </row>
    <row r="436" spans="1:31" s="102" customFormat="1" ht="22.5" customHeight="1">
      <c r="A436" s="110" t="s">
        <v>697</v>
      </c>
      <c r="B436" s="4107" t="s">
        <v>3226</v>
      </c>
      <c r="C436" s="4107"/>
      <c r="D436" s="4107"/>
      <c r="E436" s="4107"/>
      <c r="F436" s="4107"/>
      <c r="G436" s="4107"/>
      <c r="H436" s="4107"/>
      <c r="I436" s="4107"/>
      <c r="J436" s="4107"/>
      <c r="K436" s="4107"/>
      <c r="L436" s="4107"/>
      <c r="M436" s="4107"/>
      <c r="N436" s="4107"/>
      <c r="O436" s="128" t="s">
        <v>697</v>
      </c>
      <c r="P436" s="430"/>
      <c r="Q436" s="421"/>
    </row>
    <row r="437" spans="1:31" s="102" customFormat="1" ht="22.5" customHeight="1">
      <c r="A437" s="110" t="s">
        <v>1957</v>
      </c>
      <c r="B437" s="4107" t="s">
        <v>3792</v>
      </c>
      <c r="C437" s="4107"/>
      <c r="D437" s="4107"/>
      <c r="E437" s="4107"/>
      <c r="F437" s="4107"/>
      <c r="G437" s="4107"/>
      <c r="H437" s="4107"/>
      <c r="I437" s="4107"/>
      <c r="J437" s="4107"/>
      <c r="K437" s="4107"/>
      <c r="L437" s="4107"/>
      <c r="M437" s="4107"/>
      <c r="N437" s="4107"/>
      <c r="O437" s="128" t="s">
        <v>1957</v>
      </c>
      <c r="P437" s="430"/>
      <c r="Q437" s="421"/>
    </row>
    <row r="438" spans="1:31" s="102" customFormat="1" ht="21.75" customHeight="1">
      <c r="A438" s="110" t="s">
        <v>1609</v>
      </c>
      <c r="B438" s="4107" t="s">
        <v>3793</v>
      </c>
      <c r="C438" s="4107"/>
      <c r="D438" s="4107"/>
      <c r="E438" s="4107"/>
      <c r="F438" s="4107"/>
      <c r="G438" s="4107"/>
      <c r="H438" s="4107"/>
      <c r="I438" s="4107"/>
      <c r="J438" s="4107"/>
      <c r="K438" s="4107"/>
      <c r="L438" s="4107"/>
      <c r="M438" s="4107"/>
      <c r="N438" s="4107"/>
      <c r="O438" s="128" t="s">
        <v>1609</v>
      </c>
      <c r="P438" s="430"/>
      <c r="Q438" s="421"/>
    </row>
    <row r="439" spans="1:31" s="333" customFormat="1" ht="21.75" customHeight="1">
      <c r="A439" s="110" t="s">
        <v>1610</v>
      </c>
      <c r="B439" s="4107" t="s">
        <v>3826</v>
      </c>
      <c r="C439" s="4107"/>
      <c r="D439" s="4107"/>
      <c r="E439" s="4107"/>
      <c r="F439" s="4107"/>
      <c r="G439" s="4107"/>
      <c r="H439" s="4107"/>
      <c r="I439" s="4107"/>
      <c r="J439" s="4107"/>
      <c r="K439" s="4107"/>
      <c r="L439" s="4107"/>
      <c r="M439" s="4107"/>
      <c r="N439" s="4107"/>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2429</v>
      </c>
      <c r="D445" s="66"/>
      <c r="E445" s="874"/>
      <c r="F445" s="874"/>
      <c r="G445" s="874"/>
      <c r="H445" s="874"/>
      <c r="J445" s="874"/>
      <c r="K445" s="874"/>
      <c r="L445" s="874"/>
      <c r="M445" s="874"/>
      <c r="O445" s="101" t="s">
        <v>1726</v>
      </c>
      <c r="P445" s="4125"/>
      <c r="Q445" s="4114"/>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3915</v>
      </c>
      <c r="P456" s="1786"/>
      <c r="R456" s="44"/>
    </row>
    <row r="457" spans="1:18" s="794" customFormat="1" ht="11.25">
      <c r="A457" s="44"/>
      <c r="B457" s="44"/>
      <c r="C457" s="1787" t="s">
        <v>1310</v>
      </c>
      <c r="J457" s="1785" t="s">
        <v>1948</v>
      </c>
      <c r="N457" s="795"/>
      <c r="O457" s="1785" t="s">
        <v>3916</v>
      </c>
      <c r="P457" s="1786"/>
      <c r="R457" s="44"/>
    </row>
    <row r="458" spans="1:18" s="794" customFormat="1" ht="11.25">
      <c r="A458" s="44"/>
      <c r="B458" s="44"/>
      <c r="C458" s="1787" t="s">
        <v>1311</v>
      </c>
      <c r="J458" s="1785" t="s">
        <v>1535</v>
      </c>
      <c r="N458" s="795"/>
      <c r="O458" s="1785" t="s">
        <v>3917</v>
      </c>
      <c r="P458" s="1786"/>
      <c r="R458" s="44"/>
    </row>
    <row r="459" spans="1:18" s="794" customFormat="1" ht="11.25">
      <c r="A459" s="44"/>
      <c r="B459" s="44"/>
      <c r="C459" s="1787" t="s">
        <v>1975</v>
      </c>
      <c r="J459" s="1785" t="s">
        <v>1119</v>
      </c>
      <c r="N459" s="795"/>
      <c r="O459" s="1785" t="s">
        <v>3921</v>
      </c>
      <c r="P459" s="1786"/>
      <c r="R459" s="44"/>
    </row>
    <row r="460" spans="1:18" s="794" customFormat="1" ht="11.25">
      <c r="A460" s="44"/>
      <c r="B460" s="44"/>
      <c r="C460" s="1787" t="s">
        <v>1307</v>
      </c>
      <c r="J460" s="1785" t="s">
        <v>548</v>
      </c>
      <c r="N460" s="795"/>
      <c r="O460" s="1785" t="s">
        <v>3918</v>
      </c>
      <c r="P460" s="1786"/>
      <c r="R460" s="44"/>
    </row>
    <row r="461" spans="1:18" s="794" customFormat="1" ht="11.25">
      <c r="A461" s="44"/>
      <c r="B461" s="44"/>
      <c r="C461" s="1787" t="s">
        <v>1308</v>
      </c>
      <c r="J461" s="1785" t="s">
        <v>1541</v>
      </c>
      <c r="N461" s="795"/>
      <c r="O461" s="1785" t="s">
        <v>3919</v>
      </c>
      <c r="P461" s="1786"/>
      <c r="R461" s="44"/>
    </row>
    <row r="462" spans="1:18" s="794" customFormat="1" ht="11.25">
      <c r="A462" s="44"/>
      <c r="B462" s="44"/>
      <c r="C462" s="1787" t="s">
        <v>1970</v>
      </c>
      <c r="J462" s="1785" t="s">
        <v>1116</v>
      </c>
      <c r="N462" s="795"/>
      <c r="O462" s="1785" t="s">
        <v>3920</v>
      </c>
      <c r="P462" s="1786"/>
      <c r="R462" s="44"/>
    </row>
    <row r="463" spans="1:18" s="794" customFormat="1" ht="11.25">
      <c r="A463" s="44"/>
      <c r="B463" s="44"/>
      <c r="C463" s="1787" t="s">
        <v>1971</v>
      </c>
      <c r="J463" s="1785" t="s">
        <v>1115</v>
      </c>
      <c r="N463" s="795"/>
      <c r="O463" s="794" t="s">
        <v>3192</v>
      </c>
      <c r="P463" s="1786"/>
      <c r="R463" s="44"/>
    </row>
    <row r="464" spans="1:18" s="794" customFormat="1" ht="11.25">
      <c r="A464" s="44"/>
      <c r="B464" s="44"/>
      <c r="C464" s="1787" t="s">
        <v>1972</v>
      </c>
      <c r="J464" s="1785" t="s">
        <v>1601</v>
      </c>
      <c r="N464" s="795"/>
      <c r="O464" s="794" t="s">
        <v>3193</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3163</v>
      </c>
      <c r="R490" s="44"/>
    </row>
    <row r="491" spans="1:18" s="794" customFormat="1" ht="11.25">
      <c r="A491" s="44"/>
      <c r="B491" s="44"/>
      <c r="C491" s="1787" t="s">
        <v>1129</v>
      </c>
      <c r="K491" s="794" t="s">
        <v>4098</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4201</v>
      </c>
      <c r="R495" s="44"/>
    </row>
    <row r="496" spans="1:18" s="794" customFormat="1" ht="11.25">
      <c r="A496" s="44"/>
      <c r="B496" s="44"/>
      <c r="C496" s="794" t="s">
        <v>1427</v>
      </c>
      <c r="K496" s="794" t="s">
        <v>4200</v>
      </c>
      <c r="R496" s="44"/>
    </row>
    <row r="497" spans="1:18" s="794" customFormat="1" ht="11.25">
      <c r="A497" s="44"/>
      <c r="B497" s="44"/>
      <c r="C497" s="794" t="s">
        <v>1960</v>
      </c>
      <c r="K497" s="794" t="s">
        <v>4099</v>
      </c>
      <c r="R497" s="44"/>
    </row>
    <row r="498" spans="1:18" s="794" customFormat="1" ht="11.25">
      <c r="A498" s="44"/>
      <c r="B498" s="44"/>
      <c r="C498" s="794" t="s">
        <v>162</v>
      </c>
      <c r="K498" s="794" t="s">
        <v>4202</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3727</v>
      </c>
      <c r="R506" s="44"/>
    </row>
    <row r="507" spans="1:18" s="794" customFormat="1" ht="11.25">
      <c r="A507" s="44"/>
      <c r="B507" s="44"/>
      <c r="C507" s="794" t="s">
        <v>949</v>
      </c>
      <c r="M507" s="794" t="s">
        <v>949</v>
      </c>
      <c r="R507" s="44"/>
    </row>
    <row r="508" spans="1:18" s="794" customFormat="1" ht="11.25">
      <c r="A508" s="44"/>
      <c r="B508" s="44"/>
      <c r="C508" s="794" t="s">
        <v>1933</v>
      </c>
      <c r="M508" s="794" t="s">
        <v>3724</v>
      </c>
      <c r="R508" s="44"/>
    </row>
    <row r="509" spans="1:18" s="794" customFormat="1" ht="11.25">
      <c r="A509" s="44"/>
      <c r="B509" s="44"/>
      <c r="C509" s="794" t="s">
        <v>2335</v>
      </c>
      <c r="M509" s="794" t="s">
        <v>3755</v>
      </c>
      <c r="R509" s="44"/>
    </row>
    <row r="510" spans="1:18" s="794" customFormat="1" ht="11.25">
      <c r="A510" s="44"/>
      <c r="B510" s="44"/>
      <c r="C510" s="794" t="s">
        <v>1934</v>
      </c>
      <c r="M510" s="794" t="s">
        <v>1538</v>
      </c>
      <c r="R510" s="44"/>
    </row>
    <row r="511" spans="1:18" s="794" customFormat="1" ht="11.25">
      <c r="A511" s="44"/>
      <c r="B511" s="44"/>
      <c r="C511" s="794" t="s">
        <v>1805</v>
      </c>
      <c r="M511" s="794" t="s">
        <v>3725</v>
      </c>
      <c r="R511" s="44"/>
    </row>
    <row r="512" spans="1:18" s="794" customFormat="1" ht="11.25">
      <c r="A512" s="44"/>
      <c r="B512" s="44"/>
      <c r="C512" s="794" t="s">
        <v>547</v>
      </c>
      <c r="M512" s="794" t="s">
        <v>3774</v>
      </c>
      <c r="R512" s="44"/>
    </row>
    <row r="513" spans="1:18" s="794" customFormat="1" ht="11.25">
      <c r="A513" s="44"/>
      <c r="B513" s="44"/>
      <c r="C513" s="794" t="s">
        <v>2030</v>
      </c>
      <c r="M513" s="794" t="s">
        <v>3775</v>
      </c>
      <c r="R513" s="44"/>
    </row>
    <row r="514" spans="1:18" s="794" customFormat="1" ht="11.25">
      <c r="A514" s="44"/>
      <c r="B514" s="44"/>
      <c r="C514" s="794" t="s">
        <v>30</v>
      </c>
      <c r="M514" s="794" t="s">
        <v>3726</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6" t="s">
        <v>4418</v>
      </c>
      <c r="B2" s="4296"/>
      <c r="C2" s="147"/>
      <c r="D2" s="782">
        <v>2021</v>
      </c>
      <c r="E2" s="144"/>
      <c r="F2" s="4331" t="s">
        <v>2927</v>
      </c>
      <c r="G2" s="4332"/>
      <c r="H2" s="4332"/>
      <c r="I2" s="4332"/>
      <c r="J2" s="4333"/>
      <c r="K2" s="234"/>
      <c r="L2" s="442" t="s">
        <v>3056</v>
      </c>
      <c r="M2" s="234"/>
      <c r="N2" s="4331" t="s">
        <v>2927</v>
      </c>
      <c r="O2" s="4332"/>
      <c r="P2" s="4332"/>
      <c r="Q2" s="4332"/>
      <c r="R2" s="4333"/>
      <c r="S2" s="241"/>
      <c r="T2" s="144"/>
      <c r="U2" s="144"/>
      <c r="V2" s="321"/>
      <c r="W2" s="321"/>
      <c r="X2" s="321"/>
      <c r="AA2" s="68"/>
      <c r="AB2" s="68"/>
    </row>
    <row r="3" spans="1:28" s="145" customFormat="1" ht="11.65" customHeight="1">
      <c r="A3" s="4296"/>
      <c r="B3" s="429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296"/>
      <c r="B4" s="429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5"/>
      <c r="Q44" s="4114"/>
    </row>
    <row r="45" spans="1:295" s="28" customFormat="1" ht="11.25" customHeight="1">
      <c r="A45" s="4303"/>
      <c r="B45" s="4303"/>
      <c r="C45" s="4303"/>
      <c r="D45" s="4303"/>
      <c r="E45" s="4303"/>
      <c r="F45" s="1186"/>
      <c r="G45" s="4287" t="s">
        <v>2458</v>
      </c>
      <c r="H45" s="4288"/>
      <c r="I45" s="66"/>
      <c r="J45" s="35"/>
      <c r="K45" s="4289" t="s">
        <v>3079</v>
      </c>
      <c r="L45" s="4290"/>
      <c r="M45" s="4290"/>
      <c r="N45" s="4291"/>
    </row>
    <row r="46" spans="1:295" s="28" customFormat="1" ht="11.25" customHeight="1">
      <c r="A46" s="4303"/>
      <c r="B46" s="4303"/>
      <c r="C46" s="4303"/>
      <c r="D46" s="4303"/>
      <c r="E46" s="4303"/>
      <c r="F46" s="1186"/>
      <c r="G46" s="4292" t="s">
        <v>333</v>
      </c>
      <c r="H46" s="4293"/>
      <c r="I46" s="66"/>
      <c r="J46" s="35"/>
      <c r="K46" s="4298" t="s">
        <v>3080</v>
      </c>
      <c r="L46" s="4299"/>
      <c r="M46" s="4299"/>
      <c r="N46" s="4300"/>
      <c r="P46" s="404" t="s">
        <v>2467</v>
      </c>
      <c r="Q46" s="74"/>
    </row>
    <row r="47" spans="1:295" s="28" customFormat="1" ht="4.5" customHeight="1">
      <c r="A47" s="1186"/>
      <c r="B47" s="1186"/>
      <c r="C47" s="1186"/>
      <c r="D47" s="1186"/>
      <c r="E47" s="1186"/>
      <c r="F47" s="1186"/>
      <c r="G47" s="66"/>
      <c r="H47" s="66"/>
      <c r="I47" s="66"/>
      <c r="J47" s="35"/>
      <c r="K47" s="4243"/>
      <c r="L47" s="4243"/>
      <c r="M47" s="4243"/>
      <c r="N47" s="4243"/>
      <c r="P47" s="4301" t="s">
        <v>3810</v>
      </c>
      <c r="Q47" s="4301"/>
    </row>
    <row r="48" spans="1:295" s="62" customFormat="1" ht="10.5" customHeight="1">
      <c r="D48" s="490" t="s">
        <v>2457</v>
      </c>
      <c r="E48" s="28"/>
      <c r="F48" s="491" t="s">
        <v>2983</v>
      </c>
      <c r="G48" s="4316" t="s">
        <v>3768</v>
      </c>
      <c r="H48" s="4316"/>
      <c r="I48" s="4316"/>
      <c r="J48" s="28"/>
      <c r="K48" s="491" t="s">
        <v>2983</v>
      </c>
      <c r="L48" s="4316" t="s">
        <v>3767</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2926</v>
      </c>
      <c r="B49" s="4286"/>
      <c r="C49" s="428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3811</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9" t="s">
        <v>3802</v>
      </c>
      <c r="Q54" s="4099"/>
      <c r="R54" s="4334" t="s">
        <v>4196</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2921</v>
      </c>
      <c r="B56" s="4286"/>
      <c r="C56" s="428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3275</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3805</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3075</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3076</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2484</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3359</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2" t="s">
        <v>4539</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4552</v>
      </c>
      <c r="B3" s="4515"/>
      <c r="C3" s="4515"/>
      <c r="D3" s="4515"/>
      <c r="E3" s="4515"/>
      <c r="F3" s="4515"/>
      <c r="G3" s="4515"/>
      <c r="H3" s="4515"/>
      <c r="I3" s="4515"/>
      <c r="J3" s="4515"/>
      <c r="K3" s="4515"/>
      <c r="L3" s="4515"/>
      <c r="M3" s="658"/>
      <c r="N3" s="54"/>
      <c r="O3" s="63" t="s">
        <v>2045</v>
      </c>
      <c r="P3" s="901" t="s">
        <v>245</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2046</v>
      </c>
      <c r="P4" s="149" t="s">
        <v>2046</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1151</v>
      </c>
      <c r="M6" s="3"/>
      <c r="N6" s="7"/>
      <c r="O6" s="1525" t="e">
        <f>O442</f>
        <v>#REF!</v>
      </c>
      <c r="P6" s="1525" t="e">
        <f>P442</f>
        <v>#REF!</v>
      </c>
      <c r="Q6" s="1457" t="s">
        <v>4631</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542" t="s">
        <v>4392</v>
      </c>
      <c r="G12" s="4542"/>
      <c r="H12" s="4542"/>
      <c r="I12" s="4542"/>
      <c r="J12" s="4542"/>
      <c r="K12" s="4542"/>
      <c r="L12" s="4542"/>
      <c r="M12" s="4542"/>
      <c r="N12" s="4542"/>
      <c r="O12" s="1142" t="s">
        <v>3685</v>
      </c>
      <c r="P12" s="1143">
        <f>SUM(P13:P31)</f>
        <v>0</v>
      </c>
      <c r="Q12" s="4621" t="s">
        <v>4439</v>
      </c>
      <c r="R12" s="4621"/>
      <c r="S12" s="4621"/>
      <c r="T12" s="4621"/>
      <c r="U12" s="4621"/>
      <c r="V12" s="1120"/>
    </row>
    <row r="13" spans="1:25" s="35" customFormat="1" ht="10.5" customHeight="1">
      <c r="A13" s="911" t="s">
        <v>1663</v>
      </c>
      <c r="B13" s="908" t="s">
        <v>3304</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495</v>
      </c>
      <c r="B14" s="738" t="s">
        <v>3908</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719</v>
      </c>
      <c r="B15" s="738" t="s">
        <v>3249</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280</v>
      </c>
      <c r="B16" s="738" t="s">
        <v>3305</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400</v>
      </c>
      <c r="B17" s="918" t="s">
        <v>3306</v>
      </c>
      <c r="C17" s="919"/>
      <c r="D17" s="920"/>
      <c r="E17" s="1139" t="s">
        <v>1607</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342</v>
      </c>
      <c r="B18" s="738" t="s">
        <v>3909</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3911</v>
      </c>
      <c r="B19" s="738" t="s">
        <v>3176</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3922</v>
      </c>
      <c r="B20" s="738" t="s">
        <v>3912</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4139</v>
      </c>
      <c r="B21" s="918" t="s">
        <v>3913</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4531</v>
      </c>
      <c r="B22" s="738" t="s">
        <v>4443</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4533</v>
      </c>
      <c r="B23" s="738" t="s">
        <v>4532</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3279</v>
      </c>
      <c r="B24" s="1797" t="s">
        <v>4449</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3283</v>
      </c>
      <c r="B25" s="738" t="s">
        <v>3307</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3286</v>
      </c>
      <c r="B26" s="738" t="s">
        <v>3308</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3287</v>
      </c>
      <c r="B27" s="738" t="s">
        <v>3309</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3678</v>
      </c>
      <c r="B30" s="738" t="s">
        <v>4447</v>
      </c>
      <c r="C30" s="853"/>
      <c r="D30" s="912"/>
      <c r="E30" s="1137">
        <f>$O$428</f>
        <v>0</v>
      </c>
      <c r="F30" s="4536">
        <f>$A$430</f>
        <v>0</v>
      </c>
      <c r="G30" s="4537"/>
      <c r="H30" s="4537"/>
      <c r="I30" s="4537"/>
      <c r="J30" s="4537"/>
      <c r="K30" s="4537"/>
      <c r="L30" s="4537"/>
      <c r="M30" s="4537"/>
      <c r="N30" s="4537"/>
      <c r="O30" s="4538"/>
      <c r="P30" s="1150"/>
      <c r="Q30" s="1874"/>
      <c r="R30" s="1540"/>
      <c r="S30" s="1540"/>
      <c r="AA30" s="3531" t="s">
        <v>4457</v>
      </c>
      <c r="AB30" s="3531"/>
      <c r="AC30" s="3531"/>
      <c r="AD30" s="3531"/>
      <c r="AE30" s="3531"/>
      <c r="AF30" s="3531"/>
    </row>
    <row r="31" spans="1:35" s="35" customFormat="1" ht="10.5" customHeight="1">
      <c r="A31" s="913" t="s">
        <v>4450</v>
      </c>
      <c r="B31" s="914" t="s">
        <v>4448</v>
      </c>
      <c r="C31" s="915"/>
      <c r="D31" s="916"/>
      <c r="E31" s="1536">
        <f>$O$434</f>
        <v>0</v>
      </c>
      <c r="F31" s="4539">
        <f>$A$438</f>
        <v>0</v>
      </c>
      <c r="G31" s="4540"/>
      <c r="H31" s="4540"/>
      <c r="I31" s="4540"/>
      <c r="J31" s="4540"/>
      <c r="K31" s="4540"/>
      <c r="L31" s="4540"/>
      <c r="M31" s="4540"/>
      <c r="N31" s="4540"/>
      <c r="O31" s="4541"/>
      <c r="P31" s="1151"/>
      <c r="Q31" s="1874"/>
      <c r="R31" s="1540"/>
      <c r="S31" s="1540"/>
      <c r="X31" s="3531" t="s">
        <v>4458</v>
      </c>
      <c r="Y31" s="3531"/>
      <c r="Z31" s="3531"/>
      <c r="AA31" s="3531"/>
      <c r="AB31" s="3531"/>
      <c r="AC31" s="3531"/>
      <c r="AD31" s="3531" t="s">
        <v>4459</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597" t="s">
        <v>4025</v>
      </c>
      <c r="H33" s="4597"/>
      <c r="I33" s="4594" t="s">
        <v>4402</v>
      </c>
      <c r="J33" s="4595"/>
      <c r="K33" s="4595"/>
      <c r="L33" s="4596"/>
      <c r="M33" s="4549" t="s">
        <v>4038</v>
      </c>
      <c r="N33" s="4549"/>
      <c r="O33" s="4549"/>
      <c r="P33" s="4549"/>
      <c r="Q33" s="435"/>
      <c r="R33" s="435"/>
      <c r="S33" s="83" t="s">
        <v>4037</v>
      </c>
      <c r="T33" s="435"/>
      <c r="U33" s="435"/>
      <c r="V33" s="435"/>
      <c r="X33" s="4580" t="s">
        <v>4025</v>
      </c>
      <c r="Y33" s="4582"/>
      <c r="Z33" s="4580" t="s">
        <v>4402</v>
      </c>
      <c r="AA33" s="4581"/>
      <c r="AB33" s="4581"/>
      <c r="AC33" s="4582"/>
      <c r="AD33" s="4589" t="s">
        <v>4025</v>
      </c>
      <c r="AE33" s="4590"/>
      <c r="AF33" s="4591" t="s">
        <v>4402</v>
      </c>
      <c r="AG33" s="4589"/>
      <c r="AH33" s="4589"/>
      <c r="AI33" s="4590"/>
    </row>
    <row r="34" spans="1:46" s="115" customFormat="1" ht="11.25" customHeight="1">
      <c r="A34" s="44"/>
      <c r="B34" s="29"/>
      <c r="C34" s="44"/>
      <c r="D34" s="44"/>
      <c r="E34" s="44"/>
      <c r="F34" s="44"/>
      <c r="G34" s="1635">
        <v>0.09</v>
      </c>
      <c r="H34" s="1635">
        <v>0.04</v>
      </c>
      <c r="I34" s="1635">
        <v>0.04</v>
      </c>
      <c r="J34" s="1635" t="s">
        <v>4440</v>
      </c>
      <c r="K34" s="1635" t="s">
        <v>4441</v>
      </c>
      <c r="L34" s="1635" t="s">
        <v>4442</v>
      </c>
      <c r="M34" s="4583" t="e">
        <f>#REF!</f>
        <v>#REF!</v>
      </c>
      <c r="N34" s="4584"/>
      <c r="O34" s="4584"/>
      <c r="P34" s="4585"/>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4641</v>
      </c>
      <c r="C35" s="1637"/>
      <c r="D35" s="1638"/>
      <c r="E35" s="1638"/>
      <c r="F35" s="1638"/>
      <c r="G35" s="1639">
        <v>0</v>
      </c>
      <c r="H35" s="1640">
        <v>0</v>
      </c>
      <c r="I35" s="1903">
        <v>0</v>
      </c>
      <c r="J35" s="1904">
        <v>0</v>
      </c>
      <c r="K35" s="1904">
        <v>0</v>
      </c>
      <c r="L35" s="1905">
        <v>0</v>
      </c>
      <c r="Q35" s="142"/>
      <c r="R35" s="646" t="s">
        <v>572</v>
      </c>
      <c r="S35" s="1636" t="s">
        <v>4641</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336" t="s">
        <v>4456</v>
      </c>
      <c r="N40" s="4337"/>
      <c r="O40" s="4337"/>
      <c r="P40" s="4337"/>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336"/>
      <c r="N41" s="4337"/>
      <c r="O41" s="4337"/>
      <c r="P41" s="4337"/>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4593</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4584</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340" t="s">
        <v>4629</v>
      </c>
      <c r="N52" s="4341"/>
      <c r="O52" s="4341"/>
      <c r="P52" s="4341"/>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340"/>
      <c r="N53" s="4341"/>
      <c r="O53" s="4341"/>
      <c r="P53" s="4341"/>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342"/>
      <c r="N54" s="4343"/>
      <c r="O54" s="4343"/>
      <c r="P54" s="4343"/>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550" t="s">
        <v>4605</v>
      </c>
      <c r="N55" s="4551"/>
      <c r="O55" s="4551"/>
      <c r="P55" s="4552"/>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553"/>
      <c r="N56" s="4554"/>
      <c r="O56" s="4554"/>
      <c r="P56" s="4555"/>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336" t="s">
        <v>4040</v>
      </c>
      <c r="N58" s="4337"/>
      <c r="O58" s="4337"/>
      <c r="P58" s="4337"/>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338"/>
      <c r="N59" s="4339"/>
      <c r="O59" s="4339"/>
      <c r="P59" s="4339"/>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627" t="s">
        <v>4606</v>
      </c>
      <c r="N60" s="4628"/>
      <c r="O60" s="4628"/>
      <c r="P60" s="4629"/>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630"/>
      <c r="N61" s="4631"/>
      <c r="O61" s="4631"/>
      <c r="P61" s="4632"/>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374" t="s">
        <v>3770</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01" t="s">
        <v>3973</v>
      </c>
      <c r="B74" s="4301"/>
      <c r="C74" s="4301"/>
      <c r="D74" s="4301"/>
      <c r="E74" s="4301"/>
      <c r="F74" s="1117" t="s">
        <v>3301</v>
      </c>
      <c r="G74" s="4528" t="s">
        <v>3975</v>
      </c>
      <c r="H74" s="4528"/>
      <c r="I74" s="4528"/>
      <c r="J74" s="1117" t="s">
        <v>3301</v>
      </c>
      <c r="K74" s="4532" t="s">
        <v>3974</v>
      </c>
      <c r="L74" s="4532"/>
      <c r="M74" s="4532"/>
      <c r="N74" s="4532"/>
      <c r="O74" s="4526" t="s">
        <v>3301</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1607</v>
      </c>
      <c r="K76" s="4521">
        <v>1</v>
      </c>
      <c r="L76" s="4522"/>
      <c r="M76" s="4522"/>
      <c r="N76" s="4522"/>
      <c r="O76" s="4523" t="s">
        <v>1607</v>
      </c>
      <c r="P76" s="4524"/>
      <c r="Q76" s="353" t="s">
        <v>1179</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2569</v>
      </c>
      <c r="K78" s="4370">
        <v>3</v>
      </c>
      <c r="L78" s="4371"/>
      <c r="M78" s="4371"/>
      <c r="N78" s="4371"/>
      <c r="O78" s="4346" t="s">
        <v>2569</v>
      </c>
      <c r="P78" s="4347"/>
      <c r="Q78" s="4344" t="s">
        <v>3684</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2569</v>
      </c>
      <c r="P79" s="4347"/>
      <c r="Q79" s="4344"/>
      <c r="R79" s="4345"/>
      <c r="S79" s="1120"/>
      <c r="T79" s="1120"/>
    </row>
    <row r="80" spans="1:20" s="35" customFormat="1" ht="24.75" customHeight="1">
      <c r="A80" s="4367">
        <v>5</v>
      </c>
      <c r="B80" s="4368"/>
      <c r="C80" s="4368"/>
      <c r="D80" s="4368"/>
      <c r="E80" s="4369"/>
      <c r="F80" s="668"/>
      <c r="G80" s="4367">
        <v>5</v>
      </c>
      <c r="H80" s="4368"/>
      <c r="I80" s="4369"/>
      <c r="J80" s="921" t="s">
        <v>3059</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3060</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3061</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3062</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392" t="s">
        <v>3687</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420"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420"/>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633" t="s">
        <v>3691</v>
      </c>
      <c r="I97" s="4634"/>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605" t="s">
        <v>3914</v>
      </c>
      <c r="J106" s="4606"/>
      <c r="K106" s="4606"/>
      <c r="L106" s="4607"/>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608"/>
      <c r="J107" s="4515"/>
      <c r="K107" s="4515"/>
      <c r="L107" s="4609"/>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557" t="s">
        <v>3130</v>
      </c>
      <c r="G123" s="4557"/>
      <c r="H123" s="4557"/>
      <c r="I123" s="4557"/>
      <c r="J123" s="4557" t="s">
        <v>3131</v>
      </c>
      <c r="K123" s="4557"/>
      <c r="L123" s="4557"/>
      <c r="M123" s="4557"/>
      <c r="N123" s="48"/>
      <c r="O123" s="4558" t="s">
        <v>3760</v>
      </c>
      <c r="P123" s="4559"/>
      <c r="Q123" s="86"/>
      <c r="R123" s="866"/>
      <c r="S123" s="866"/>
      <c r="T123" s="866"/>
      <c r="U123" s="866"/>
    </row>
    <row r="124" spans="1:21" s="36" customFormat="1" ht="12" customHeight="1">
      <c r="B124" s="1749"/>
      <c r="C124" s="1123" t="s">
        <v>4465</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4047</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4573</v>
      </c>
      <c r="B126" s="4435"/>
      <c r="C126" s="1123" t="s">
        <v>4464</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3276</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4596</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4577</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556" t="s">
        <v>4571</v>
      </c>
      <c r="D133" s="4556"/>
      <c r="E133" s="4556"/>
      <c r="F133" s="4556"/>
      <c r="G133" s="4556"/>
      <c r="H133" s="4556"/>
      <c r="I133" s="4556"/>
      <c r="J133" s="4556"/>
      <c r="K133" s="4556"/>
      <c r="L133" s="4556"/>
      <c r="M133" s="1758">
        <v>6</v>
      </c>
      <c r="N133" s="373" t="s">
        <v>1839</v>
      </c>
      <c r="O133" s="1820"/>
      <c r="P133" s="1821"/>
      <c r="Q133" s="1153"/>
      <c r="R133" s="782" t="s">
        <v>3927</v>
      </c>
    </row>
    <row r="134" spans="1:21" s="331" customFormat="1" ht="12" customHeight="1">
      <c r="A134" s="455" t="s">
        <v>1273</v>
      </c>
      <c r="B134" s="349" t="s">
        <v>1841</v>
      </c>
      <c r="C134" s="3473" t="s">
        <v>4572</v>
      </c>
      <c r="D134" s="3473"/>
      <c r="E134" s="3473"/>
      <c r="F134" s="3473"/>
      <c r="G134" s="853"/>
      <c r="J134" s="4564" t="s">
        <v>4568</v>
      </c>
      <c r="K134" s="4565"/>
      <c r="L134" s="4566"/>
      <c r="M134" s="457">
        <v>5</v>
      </c>
      <c r="N134" s="347" t="s">
        <v>1841</v>
      </c>
      <c r="O134" s="1833"/>
      <c r="P134" s="1834"/>
      <c r="Q134" s="1720" t="s">
        <v>4564</v>
      </c>
      <c r="R134" s="1117" t="s">
        <v>4160</v>
      </c>
      <c r="S134" s="1117" t="s">
        <v>4045</v>
      </c>
    </row>
    <row r="135" spans="1:21" s="331" customFormat="1" ht="12" customHeight="1">
      <c r="B135" s="349"/>
      <c r="C135" s="3473"/>
      <c r="D135" s="3473"/>
      <c r="E135" s="3473"/>
      <c r="F135" s="3473"/>
      <c r="G135" s="853"/>
      <c r="H135" s="3302" t="s">
        <v>4566</v>
      </c>
      <c r="I135" s="3302"/>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1838</v>
      </c>
      <c r="B138" s="884" t="s">
        <v>3153</v>
      </c>
      <c r="C138" s="502"/>
      <c r="D138" s="502"/>
      <c r="F138" s="1812" t="s">
        <v>4563</v>
      </c>
      <c r="J138" s="4598" t="s">
        <v>3150</v>
      </c>
      <c r="K138" s="4599"/>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4565</v>
      </c>
      <c r="R138" s="1815">
        <v>0.25</v>
      </c>
      <c r="S138" s="1815">
        <v>3</v>
      </c>
    </row>
    <row r="139" spans="1:21" s="36" customFormat="1" ht="12" customHeight="1">
      <c r="A139" s="120"/>
      <c r="B139" s="1544" t="s">
        <v>1839</v>
      </c>
      <c r="C139" s="3473" t="s">
        <v>4578</v>
      </c>
      <c r="D139" s="3473"/>
      <c r="E139" s="3473"/>
      <c r="F139" s="3473"/>
      <c r="G139" s="853"/>
      <c r="H139" s="3302" t="s">
        <v>4567</v>
      </c>
      <c r="I139" s="3302"/>
      <c r="J139" s="4414" t="s">
        <v>4583</v>
      </c>
      <c r="K139" s="4415"/>
      <c r="L139" s="4416"/>
      <c r="M139" s="457">
        <v>3</v>
      </c>
      <c r="N139" s="347" t="s">
        <v>1839</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4460</v>
      </c>
      <c r="K140" s="4378"/>
      <c r="L140" s="4379"/>
      <c r="M140" s="70"/>
      <c r="O140" s="4391"/>
      <c r="P140" s="4394"/>
      <c r="Q140" s="86"/>
      <c r="R140" s="1465">
        <v>1</v>
      </c>
      <c r="S140" s="1465">
        <v>1</v>
      </c>
      <c r="U140" s="331"/>
    </row>
    <row r="141" spans="1:21" s="36" customFormat="1" ht="11.25" customHeight="1">
      <c r="A141" s="455" t="s">
        <v>1273</v>
      </c>
      <c r="B141" s="1544" t="s">
        <v>1841</v>
      </c>
      <c r="C141" s="3473" t="s">
        <v>4570</v>
      </c>
      <c r="D141" s="3473"/>
      <c r="E141" s="3473"/>
      <c r="F141" s="3473"/>
      <c r="G141" s="3473"/>
      <c r="H141" s="3473"/>
      <c r="I141" s="1813"/>
      <c r="J141" s="4380"/>
      <c r="K141" s="4381"/>
      <c r="L141" s="4382"/>
      <c r="M141" s="457">
        <v>1</v>
      </c>
      <c r="N141" s="347" t="s">
        <v>1841</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1273</v>
      </c>
      <c r="B143" s="1544" t="s">
        <v>2326</v>
      </c>
      <c r="C143" s="3473" t="s">
        <v>4569</v>
      </c>
      <c r="D143" s="3473"/>
      <c r="E143" s="3473"/>
      <c r="F143" s="3473"/>
      <c r="G143" s="3473"/>
      <c r="H143" s="3473"/>
      <c r="I143" s="4389"/>
      <c r="J143" s="4377" t="s">
        <v>4461</v>
      </c>
      <c r="K143" s="4378"/>
      <c r="L143" s="4379"/>
      <c r="M143" s="1758">
        <v>2</v>
      </c>
      <c r="N143" s="373" t="s">
        <v>2326</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4614</v>
      </c>
      <c r="F153" s="1457"/>
      <c r="G153" s="1457"/>
      <c r="H153" s="1457"/>
      <c r="I153" s="1564"/>
      <c r="J153" s="1565"/>
      <c r="K153" s="1566"/>
      <c r="M153" s="36"/>
      <c r="N153"/>
      <c r="O153"/>
      <c r="P153" s="1873"/>
    </row>
    <row r="154" spans="1:19" ht="11.25" customHeight="1">
      <c r="C154" s="1457" t="s">
        <v>4613</v>
      </c>
      <c r="F154" s="1457"/>
      <c r="G154" s="1457"/>
      <c r="H154" s="1457"/>
      <c r="I154" s="1564"/>
      <c r="J154" s="4409" t="s">
        <v>4719</v>
      </c>
      <c r="K154" s="4410"/>
      <c r="L154" s="4410"/>
      <c r="M154" s="4411"/>
      <c r="N154"/>
      <c r="O154"/>
      <c r="P154"/>
    </row>
    <row r="155" spans="1:19" ht="12.75" customHeight="1">
      <c r="B155" s="429"/>
      <c r="C155" s="429"/>
      <c r="D155" s="429"/>
      <c r="F155" s="4166" t="s">
        <v>4522</v>
      </c>
      <c r="G155" s="4166"/>
      <c r="H155" s="4166" t="s">
        <v>4166</v>
      </c>
      <c r="I155" s="4166"/>
      <c r="J155" s="4395" t="s">
        <v>4523</v>
      </c>
      <c r="K155" s="4396"/>
      <c r="L155" s="4398" t="s">
        <v>4718</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4524</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7" t="s">
        <v>4574</v>
      </c>
      <c r="D173" s="4107"/>
      <c r="E173" s="4107"/>
      <c r="F173" s="4107"/>
      <c r="G173" s="4107"/>
      <c r="H173" s="4107"/>
      <c r="I173" s="4107"/>
      <c r="J173" s="4107"/>
      <c r="K173" s="4107"/>
      <c r="L173" s="128"/>
      <c r="M173" s="4430" t="s">
        <v>3991</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2234</v>
      </c>
      <c r="M174" s="4417" t="s">
        <v>3201</v>
      </c>
      <c r="N174" s="4418"/>
      <c r="O174" s="4418"/>
      <c r="P174" s="4419"/>
      <c r="S174" s="1540"/>
      <c r="T174" s="1540"/>
      <c r="U174" s="1540"/>
    </row>
    <row r="175" spans="1:26" s="26" customFormat="1" ht="12.75" customHeight="1">
      <c r="B175" s="49" t="s">
        <v>2235</v>
      </c>
      <c r="C175" s="29" t="s">
        <v>3831</v>
      </c>
      <c r="D175" s="29"/>
      <c r="E175" s="29"/>
      <c r="F175" s="29"/>
      <c r="G175" s="29"/>
      <c r="H175" s="29"/>
      <c r="L175" s="49" t="s">
        <v>2235</v>
      </c>
      <c r="M175" s="4414" t="s">
        <v>3201</v>
      </c>
      <c r="N175" s="4415"/>
      <c r="O175" s="4415"/>
      <c r="P175" s="4416"/>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414" t="s">
        <v>3201</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467" t="s">
        <v>3201</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c r="A180" s="395"/>
      <c r="B180" s="128" t="s">
        <v>2234</v>
      </c>
      <c r="C180" s="4107" t="s">
        <v>4075</v>
      </c>
      <c r="D180" s="4107"/>
      <c r="E180" s="4107"/>
      <c r="F180" s="4107"/>
      <c r="G180" s="4107"/>
      <c r="H180" s="4107"/>
      <c r="I180" s="4107"/>
      <c r="J180" s="4107"/>
      <c r="K180" s="4107"/>
      <c r="L180" s="4107"/>
      <c r="M180" s="1758">
        <v>1</v>
      </c>
      <c r="N180" s="128" t="s">
        <v>3945</v>
      </c>
      <c r="O180" s="1548"/>
      <c r="P180" s="1552"/>
      <c r="Q180" s="1153" t="str">
        <f>IF(OR($O180=$M180,$O180=0,$O180=""),"","*CHECK!*")</f>
        <v/>
      </c>
      <c r="R180" s="782" t="s">
        <v>3927</v>
      </c>
    </row>
    <row r="181" spans="1:26" ht="36.75" customHeight="1">
      <c r="A181" s="395"/>
      <c r="B181" s="117" t="s">
        <v>2235</v>
      </c>
      <c r="C181" s="4107" t="s">
        <v>4076</v>
      </c>
      <c r="D181" s="4107"/>
      <c r="E181" s="4107"/>
      <c r="F181" s="4107"/>
      <c r="G181" s="4107"/>
      <c r="H181" s="4107"/>
      <c r="I181" s="4107"/>
      <c r="J181" s="4107"/>
      <c r="K181" s="4107"/>
      <c r="L181" s="4107"/>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4107</v>
      </c>
      <c r="D193" s="26"/>
      <c r="G193" s="369"/>
      <c r="N193"/>
      <c r="O193" s="31"/>
      <c r="P193" s="31"/>
      <c r="Q193" s="241"/>
    </row>
    <row r="194" spans="1:24" s="1260" customFormat="1" ht="12.75" customHeight="1">
      <c r="B194" s="349" t="s">
        <v>1839</v>
      </c>
      <c r="C194" s="4107" t="s">
        <v>4104</v>
      </c>
      <c r="D194" s="4107"/>
      <c r="E194" s="4107"/>
      <c r="F194" s="4107"/>
      <c r="G194" s="4107"/>
      <c r="H194" s="4107"/>
      <c r="I194" s="4107"/>
      <c r="J194" s="4107"/>
      <c r="K194" s="4107"/>
      <c r="L194" s="4107"/>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7" t="s">
        <v>4108</v>
      </c>
      <c r="D196" s="4107"/>
      <c r="E196" s="4107"/>
      <c r="F196" s="4107"/>
      <c r="G196" s="4107"/>
      <c r="H196" s="4107"/>
      <c r="I196" s="4107"/>
      <c r="J196" s="4107"/>
      <c r="K196" s="4107"/>
      <c r="L196" s="4107"/>
      <c r="M196" s="456"/>
      <c r="N196" s="316" t="s">
        <v>2326</v>
      </c>
      <c r="O196" s="883"/>
      <c r="P196" s="882"/>
      <c r="Q196" s="787"/>
      <c r="V196" s="929"/>
      <c r="W196" s="929"/>
    </row>
    <row r="197" spans="1:24" ht="11.65" customHeight="1">
      <c r="A197" s="107" t="s">
        <v>1957</v>
      </c>
      <c r="B197" s="141" t="s">
        <v>4106</v>
      </c>
      <c r="D197" s="26"/>
      <c r="G197" s="369"/>
      <c r="N197"/>
      <c r="O197" s="31"/>
      <c r="P197" s="31"/>
      <c r="Q197" s="241"/>
    </row>
    <row r="198" spans="1:24" s="1260" customFormat="1" ht="23.25" customHeight="1">
      <c r="B198" s="349" t="s">
        <v>1839</v>
      </c>
      <c r="C198" s="4107" t="s">
        <v>4109</v>
      </c>
      <c r="D198" s="4107"/>
      <c r="E198" s="4107"/>
      <c r="F198" s="4107"/>
      <c r="G198" s="4107"/>
      <c r="H198" s="4107"/>
      <c r="I198" s="4107"/>
      <c r="J198" s="4107"/>
      <c r="K198" s="4107"/>
      <c r="L198" s="4107"/>
      <c r="M198" s="871" t="s">
        <v>1957</v>
      </c>
      <c r="N198" s="316" t="s">
        <v>1839</v>
      </c>
      <c r="O198" s="881"/>
      <c r="P198" s="880"/>
      <c r="Q198" s="934"/>
      <c r="V198" s="1511"/>
      <c r="W198" s="1511"/>
    </row>
    <row r="199" spans="1:24" s="26" customFormat="1" ht="23.25" customHeight="1">
      <c r="A199" s="395"/>
      <c r="B199" s="349" t="s">
        <v>1841</v>
      </c>
      <c r="C199" s="4107" t="s">
        <v>4150</v>
      </c>
      <c r="D199" s="4107"/>
      <c r="E199" s="4107"/>
      <c r="F199" s="4107"/>
      <c r="G199" s="4107"/>
      <c r="H199" s="4107"/>
      <c r="I199" s="4107"/>
      <c r="J199" s="4107"/>
      <c r="K199" s="4107"/>
      <c r="L199" s="4107"/>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444" t="s">
        <v>3119</v>
      </c>
      <c r="K208" s="4445"/>
      <c r="L208" s="4446"/>
      <c r="M208" s="4447"/>
      <c r="N208" s="53"/>
      <c r="R208" s="86"/>
      <c r="S208" s="70"/>
    </row>
    <row r="209" spans="1:27" ht="12.75" customHeight="1">
      <c r="C209" s="673" t="s">
        <v>4152</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623" t="s">
        <v>4115</v>
      </c>
      <c r="F212" s="4623"/>
      <c r="G212" s="4623"/>
      <c r="H212" s="4623"/>
      <c r="I212" s="1144" t="s">
        <v>4142</v>
      </c>
      <c r="J212" s="4623" t="s">
        <v>4115</v>
      </c>
      <c r="K212" s="4623"/>
      <c r="L212" s="4623"/>
      <c r="M212" s="4623"/>
      <c r="N212"/>
      <c r="O212"/>
      <c r="P212"/>
    </row>
    <row r="213" spans="1:27" ht="13.5" customHeight="1">
      <c r="B213" s="399"/>
      <c r="C213" s="29" t="s">
        <v>4113</v>
      </c>
      <c r="E213" s="4624"/>
      <c r="F213" s="4625"/>
      <c r="G213" s="4625"/>
      <c r="H213" s="4626"/>
      <c r="I213" s="1779" t="s">
        <v>905</v>
      </c>
      <c r="J213" s="4506"/>
      <c r="K213" s="4507"/>
      <c r="L213" s="4507"/>
      <c r="M213" s="4508"/>
      <c r="N213"/>
      <c r="Q213" s="24"/>
      <c r="R213" s="24"/>
      <c r="S213" s="24"/>
      <c r="T213" s="24"/>
      <c r="U213" s="24"/>
      <c r="V213" s="24"/>
      <c r="W213" s="24"/>
      <c r="X213" s="24"/>
      <c r="Y213" s="24"/>
      <c r="Z213" s="24"/>
      <c r="AA213" s="1780"/>
    </row>
    <row r="214" spans="1:27" ht="13.5" customHeight="1">
      <c r="C214" s="29" t="s">
        <v>4114</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4111</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4112</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 customHeight="1" thickTop="1" thickBot="1">
      <c r="A220" s="4425"/>
      <c r="B220" s="4426"/>
      <c r="C220" s="4426"/>
      <c r="D220" s="4426"/>
      <c r="E220" s="4426"/>
      <c r="F220" s="4426"/>
      <c r="G220" s="4426"/>
      <c r="H220" s="4426"/>
      <c r="I220" s="4426"/>
      <c r="J220" s="4426"/>
      <c r="K220" s="4426"/>
      <c r="L220" s="4426"/>
      <c r="M220" s="4426"/>
      <c r="N220" s="4426"/>
      <c r="O220" s="4426"/>
      <c r="P220" s="4427"/>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485" t="str">
        <f>M55</f>
        <v>&lt;&lt; Select Activity Type &gt;&gt;</v>
      </c>
      <c r="L225" s="448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1" t="e">
        <f>#REF!</f>
        <v>#REF!</v>
      </c>
      <c r="L226" s="4502"/>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2"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2"/>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5"/>
      <c r="B238" s="4426"/>
      <c r="C238" s="4426"/>
      <c r="D238" s="4426"/>
      <c r="E238" s="4426"/>
      <c r="F238" s="4426"/>
      <c r="G238" s="4426"/>
      <c r="H238" s="4426"/>
      <c r="I238" s="4426"/>
      <c r="J238" s="4426"/>
      <c r="K238" s="4426"/>
      <c r="L238" s="4426"/>
      <c r="M238" s="4426"/>
      <c r="N238" s="4426"/>
      <c r="O238" s="4426"/>
      <c r="P238" s="4427"/>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1.25">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619"/>
      <c r="J244" s="4619"/>
      <c r="L244" s="1574" t="s">
        <v>4156</v>
      </c>
      <c r="M244" s="4620"/>
      <c r="N244" s="4620"/>
    </row>
    <row r="245" spans="1:27" s="32" customFormat="1" ht="11.25" customHeight="1">
      <c r="A245" s="306"/>
      <c r="B245" s="349" t="s">
        <v>1841</v>
      </c>
      <c r="C245" s="29" t="s">
        <v>4155</v>
      </c>
      <c r="E245" s="33" t="s">
        <v>3223</v>
      </c>
      <c r="G245" s="1556"/>
      <c r="H245" s="48" t="s">
        <v>573</v>
      </c>
      <c r="I245" s="4493"/>
      <c r="J245" s="4493"/>
      <c r="L245" s="1574" t="s">
        <v>4156</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4" t="s">
        <v>4510</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7" t="s">
        <v>4511</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4127</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4576</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5"/>
      <c r="B281" s="4426"/>
      <c r="C281" s="4426"/>
      <c r="D281" s="4426"/>
      <c r="E281" s="4426"/>
      <c r="F281" s="4426"/>
      <c r="G281" s="4426"/>
      <c r="H281" s="4426"/>
      <c r="I281" s="4426"/>
      <c r="J281" s="4426"/>
      <c r="K281" s="4426"/>
      <c r="L281" s="4426"/>
      <c r="M281" s="4426"/>
      <c r="N281" s="4426"/>
      <c r="O281" s="4426"/>
      <c r="P281" s="4427"/>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4595</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4589</v>
      </c>
      <c r="D286" s="38"/>
      <c r="E286" s="38"/>
      <c r="G286" s="147"/>
      <c r="J286" s="1253"/>
      <c r="M286" s="455"/>
      <c r="Q286" s="86"/>
      <c r="R286" s="1542"/>
      <c r="S286" s="1542"/>
      <c r="T286" s="1542"/>
      <c r="U286" s="1542"/>
      <c r="V286" s="1542"/>
      <c r="W286" s="36"/>
      <c r="X286" s="36"/>
    </row>
    <row r="287" spans="1:24" s="70" customFormat="1" ht="11.25" customHeight="1">
      <c r="A287" s="120"/>
      <c r="C287" s="29" t="s">
        <v>4586</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4585</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4587</v>
      </c>
      <c r="G289" s="147"/>
      <c r="I289" s="4461" t="s">
        <v>4588</v>
      </c>
      <c r="J289" s="4462"/>
      <c r="K289" s="4463"/>
      <c r="L289" s="4464"/>
      <c r="M289" s="455"/>
      <c r="O289" s="4465" t="s">
        <v>3064</v>
      </c>
      <c r="P289" s="4465" t="s">
        <v>3065</v>
      </c>
      <c r="Q289" s="86"/>
      <c r="R289" s="1542"/>
      <c r="S289" s="1542"/>
      <c r="T289" s="1542"/>
      <c r="U289" s="1542"/>
      <c r="V289" s="1542"/>
      <c r="W289" s="36"/>
      <c r="X289" s="36"/>
    </row>
    <row r="290" spans="1:24" s="36" customFormat="1" ht="11.25" customHeight="1">
      <c r="A290" s="120"/>
      <c r="B290" s="29" t="s">
        <v>4476</v>
      </c>
      <c r="D290" s="34"/>
      <c r="H290" s="141"/>
      <c r="M290" s="119"/>
      <c r="N290" s="48"/>
      <c r="O290" s="4466"/>
      <c r="P290" s="4466"/>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4594</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7" t="s">
        <v>4482</v>
      </c>
      <c r="D296" s="4107"/>
      <c r="E296" s="4107"/>
      <c r="F296" s="4107"/>
      <c r="G296" s="4107"/>
      <c r="H296" s="4107"/>
      <c r="I296" s="4107"/>
      <c r="J296" s="4107"/>
      <c r="K296" s="4107"/>
      <c r="L296" s="4107"/>
      <c r="M296" s="4107"/>
      <c r="N296" s="150" t="s">
        <v>1839</v>
      </c>
      <c r="O296" s="1224"/>
      <c r="P296" s="1225"/>
      <c r="Q296" s="330"/>
      <c r="R296" s="1750"/>
      <c r="S296" s="1750"/>
      <c r="T296" s="1750"/>
      <c r="U296" s="1750"/>
    </row>
    <row r="297" spans="1:24" s="331" customFormat="1" ht="21.75" customHeight="1" thickBot="1">
      <c r="A297" s="1520"/>
      <c r="B297" s="349" t="s">
        <v>1841</v>
      </c>
      <c r="C297" s="4107" t="s">
        <v>4483</v>
      </c>
      <c r="D297" s="4107"/>
      <c r="E297" s="4107"/>
      <c r="F297" s="4107"/>
      <c r="G297" s="4107"/>
      <c r="H297" s="4107"/>
      <c r="I297" s="4107"/>
      <c r="J297" s="4107"/>
      <c r="K297" s="4107"/>
      <c r="L297" s="4107"/>
      <c r="M297" s="4107"/>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7" t="s">
        <v>4485</v>
      </c>
      <c r="D299" s="4107"/>
      <c r="E299" s="4107"/>
      <c r="F299" s="4107"/>
      <c r="G299" s="4107"/>
      <c r="H299" s="4107"/>
      <c r="I299" s="4107"/>
      <c r="J299" s="4107"/>
      <c r="K299" s="4107"/>
      <c r="L299" s="4107"/>
      <c r="M299" s="4107"/>
      <c r="N299" s="150" t="s">
        <v>1839</v>
      </c>
      <c r="O299" s="1224"/>
      <c r="P299" s="1225"/>
      <c r="Q299" s="330"/>
      <c r="R299" s="1750"/>
      <c r="S299" s="1750"/>
      <c r="T299" s="1750"/>
      <c r="U299" s="1750"/>
    </row>
    <row r="300" spans="1:24" s="331" customFormat="1" ht="10.5" customHeight="1">
      <c r="A300" s="1520"/>
      <c r="B300" s="349" t="s">
        <v>1841</v>
      </c>
      <c r="C300" s="4107" t="s">
        <v>4486</v>
      </c>
      <c r="D300" s="4107"/>
      <c r="E300" s="4107"/>
      <c r="F300" s="4107"/>
      <c r="G300" s="4107"/>
      <c r="H300" s="4107"/>
      <c r="I300" s="4107"/>
      <c r="J300" s="4107"/>
      <c r="K300" s="4107"/>
      <c r="L300" s="4107"/>
      <c r="M300" s="4107"/>
      <c r="N300" s="150" t="s">
        <v>1841</v>
      </c>
      <c r="O300" s="883"/>
      <c r="P300" s="882"/>
      <c r="Q300" s="330"/>
      <c r="R300" s="1750"/>
      <c r="S300" s="1750"/>
      <c r="T300" s="1750"/>
      <c r="U300" s="1750"/>
    </row>
    <row r="301" spans="1:24" s="331" customFormat="1" ht="10.5" customHeight="1">
      <c r="A301" s="1520"/>
      <c r="B301" s="349" t="s">
        <v>2326</v>
      </c>
      <c r="C301" s="673" t="s">
        <v>4590</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7" t="s">
        <v>4489</v>
      </c>
      <c r="D304" s="4107"/>
      <c r="E304" s="4107"/>
      <c r="F304" s="4107"/>
      <c r="G304" s="4107"/>
      <c r="H304" s="4107"/>
      <c r="I304" s="4107"/>
      <c r="J304" s="4107"/>
      <c r="K304" s="4107"/>
      <c r="L304" s="4107"/>
      <c r="M304" s="4107"/>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5"/>
      <c r="B306" s="4426"/>
      <c r="C306" s="4426"/>
      <c r="D306" s="4426"/>
      <c r="E306" s="4426"/>
      <c r="F306" s="4426"/>
      <c r="G306" s="4426"/>
      <c r="H306" s="4426"/>
      <c r="I306" s="4426"/>
      <c r="J306" s="4426"/>
      <c r="K306" s="4426"/>
      <c r="L306" s="4426"/>
      <c r="M306" s="4426"/>
      <c r="N306" s="4426"/>
      <c r="O306" s="4426"/>
      <c r="P306" s="4427"/>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616"/>
      <c r="J311" s="4617"/>
      <c r="K311" s="4617"/>
      <c r="L311" s="461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5"/>
      <c r="B314" s="4426"/>
      <c r="C314" s="4426"/>
      <c r="D314" s="4426"/>
      <c r="E314" s="4426"/>
      <c r="F314" s="4426"/>
      <c r="G314" s="4426"/>
      <c r="H314" s="4426"/>
      <c r="I314" s="4426"/>
      <c r="J314" s="4426"/>
      <c r="K314" s="4426"/>
      <c r="L314" s="4426"/>
      <c r="M314" s="4426"/>
      <c r="N314" s="4426"/>
      <c r="O314" s="4426"/>
      <c r="P314" s="4427"/>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27" t="s">
        <v>3960</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 customHeight="1" thickTop="1" thickBot="1">
      <c r="A338" s="4425"/>
      <c r="B338" s="4426"/>
      <c r="C338" s="4426"/>
      <c r="D338" s="4426"/>
      <c r="E338" s="4426"/>
      <c r="F338" s="4426"/>
      <c r="G338" s="4426"/>
      <c r="H338" s="4426"/>
      <c r="I338" s="4426"/>
      <c r="J338" s="4426"/>
      <c r="K338" s="4426"/>
      <c r="L338" s="4426"/>
      <c r="M338" s="4426"/>
      <c r="N338" s="4426"/>
      <c r="O338" s="4426"/>
      <c r="P338" s="4427"/>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1" t="str">
        <f>IF(OR(O344="No",O344="",O345="No",O345="",O346="No",O346="",O347="No",O347=""),"Unmet criterion results in no points!","")</f>
        <v>Unmet criterion results in no points!</v>
      </c>
      <c r="M344" s="4491"/>
      <c r="N344" s="49" t="s">
        <v>2234</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2235</v>
      </c>
      <c r="C345" s="29" t="s">
        <v>3189</v>
      </c>
      <c r="L345" s="4491"/>
      <c r="M345" s="4491"/>
      <c r="N345" s="49" t="s">
        <v>2235</v>
      </c>
      <c r="O345" s="299"/>
      <c r="P345" s="419"/>
      <c r="R345" s="4487"/>
      <c r="S345" s="4487"/>
    </row>
    <row r="346" spans="1:20" s="79" customFormat="1" ht="12.75" customHeight="1">
      <c r="B346" s="49" t="s">
        <v>2236</v>
      </c>
      <c r="C346" s="29" t="s">
        <v>3188</v>
      </c>
      <c r="L346" s="4491"/>
      <c r="M346" s="4491"/>
      <c r="N346" s="49" t="s">
        <v>2236</v>
      </c>
      <c r="O346" s="299"/>
      <c r="P346" s="419"/>
      <c r="R346" s="4487"/>
      <c r="S346" s="4487"/>
    </row>
    <row r="347" spans="1:20" s="79" customFormat="1" ht="33.75" customHeight="1">
      <c r="B347" s="117" t="s">
        <v>2237</v>
      </c>
      <c r="C347" s="4107" t="s">
        <v>4491</v>
      </c>
      <c r="D347" s="4107"/>
      <c r="E347" s="4107"/>
      <c r="F347" s="4107"/>
      <c r="G347" s="4107"/>
      <c r="H347" s="4107"/>
      <c r="I347" s="4107"/>
      <c r="J347" s="4107"/>
      <c r="K347" s="4107"/>
      <c r="L347" s="4107"/>
      <c r="M347" s="4107"/>
      <c r="N347" s="117" t="s">
        <v>2237</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4608</v>
      </c>
      <c r="C350" s="108"/>
      <c r="D350" s="108"/>
      <c r="E350" s="108"/>
      <c r="F350" s="108"/>
      <c r="G350" s="108"/>
      <c r="H350" s="108"/>
      <c r="I350" s="108"/>
      <c r="N350"/>
      <c r="O350" s="1337"/>
      <c r="P350" s="1336"/>
      <c r="R350" s="392"/>
      <c r="S350" s="392"/>
      <c r="T350" s="1362"/>
    </row>
    <row r="351" spans="1:20" ht="12.75" customHeight="1">
      <c r="A351" s="793"/>
      <c r="B351" s="1849" t="s">
        <v>4607</v>
      </c>
      <c r="C351" s="108"/>
      <c r="D351" s="108"/>
      <c r="E351" s="108"/>
      <c r="F351" s="108"/>
      <c r="G351" s="108"/>
      <c r="H351" s="108"/>
      <c r="I351" s="108"/>
      <c r="J351" s="4484" t="s">
        <v>1843</v>
      </c>
      <c r="K351" s="4484"/>
      <c r="M351" s="4484" t="s">
        <v>1843</v>
      </c>
      <c r="N351" s="4484"/>
      <c r="O351" s="4484"/>
      <c r="P351" s="4484"/>
      <c r="R351" s="1746"/>
      <c r="S351" s="1746"/>
      <c r="T351" s="1362"/>
    </row>
    <row r="352" spans="1:20" s="36" customFormat="1" ht="12.75" customHeight="1">
      <c r="A352" s="151"/>
      <c r="B352" s="150" t="s">
        <v>4493</v>
      </c>
      <c r="C352" s="29" t="s">
        <v>1386</v>
      </c>
      <c r="I352" s="49" t="s">
        <v>2234</v>
      </c>
      <c r="J352" s="4575"/>
      <c r="K352" s="4576"/>
      <c r="L352" s="49" t="s">
        <v>2234</v>
      </c>
      <c r="M352" s="4441"/>
      <c r="N352" s="4442"/>
      <c r="O352" s="4442"/>
      <c r="P352" s="4443"/>
      <c r="R352" s="307"/>
    </row>
    <row r="353" spans="1:18" ht="12.75" customHeight="1">
      <c r="A353" s="152"/>
      <c r="B353" s="117" t="s">
        <v>2235</v>
      </c>
      <c r="C353" s="29" t="s">
        <v>3070</v>
      </c>
      <c r="I353" s="117" t="s">
        <v>2235</v>
      </c>
      <c r="J353" s="4436"/>
      <c r="K353" s="4437"/>
      <c r="L353" s="117" t="s">
        <v>2235</v>
      </c>
      <c r="M353" s="4438"/>
      <c r="N353" s="4439"/>
      <c r="O353" s="4439"/>
      <c r="P353" s="4440"/>
      <c r="R353" s="307"/>
    </row>
    <row r="354" spans="1:18" ht="12.75" customHeight="1">
      <c r="B354" s="49" t="s">
        <v>2236</v>
      </c>
      <c r="C354" s="29" t="s">
        <v>3828</v>
      </c>
      <c r="I354" s="49" t="s">
        <v>2236</v>
      </c>
      <c r="J354" s="4436"/>
      <c r="K354" s="4437"/>
      <c r="L354" s="49" t="s">
        <v>2236</v>
      </c>
      <c r="M354" s="4438"/>
      <c r="N354" s="4439"/>
      <c r="O354" s="4439"/>
      <c r="P354" s="4440"/>
      <c r="R354" s="307"/>
    </row>
    <row r="355" spans="1:18" ht="12.75" customHeight="1">
      <c r="A355" s="152"/>
      <c r="B355" s="49" t="s">
        <v>2237</v>
      </c>
      <c r="C355" s="29" t="s">
        <v>2987</v>
      </c>
      <c r="I355" s="49" t="s">
        <v>2237</v>
      </c>
      <c r="J355" s="4436"/>
      <c r="K355" s="4437"/>
      <c r="L355" s="49" t="s">
        <v>2237</v>
      </c>
      <c r="M355" s="4438"/>
      <c r="N355" s="4439"/>
      <c r="O355" s="4439"/>
      <c r="P355" s="4440"/>
      <c r="R355" s="307"/>
    </row>
    <row r="356" spans="1:18" s="36" customFormat="1" ht="12.75" customHeight="1">
      <c r="A356" s="151"/>
      <c r="B356" s="117" t="s">
        <v>2238</v>
      </c>
      <c r="C356" s="29" t="s">
        <v>2466</v>
      </c>
      <c r="I356" s="117" t="s">
        <v>2238</v>
      </c>
      <c r="J356" s="4436"/>
      <c r="K356" s="4437"/>
      <c r="L356" s="117" t="s">
        <v>2238</v>
      </c>
      <c r="M356" s="4438"/>
      <c r="N356" s="4439"/>
      <c r="O356" s="4439"/>
      <c r="P356" s="4440"/>
      <c r="R356" s="307"/>
    </row>
    <row r="357" spans="1:18" ht="12.75" customHeight="1">
      <c r="B357" s="49" t="s">
        <v>2254</v>
      </c>
      <c r="C357" s="29" t="s">
        <v>1385</v>
      </c>
      <c r="I357" s="49" t="s">
        <v>2254</v>
      </c>
      <c r="J357" s="4436"/>
      <c r="K357" s="4437"/>
      <c r="L357" s="49" t="s">
        <v>2254</v>
      </c>
      <c r="M357" s="4438"/>
      <c r="N357" s="4439"/>
      <c r="O357" s="4439"/>
      <c r="P357" s="4440"/>
      <c r="R357" s="307"/>
    </row>
    <row r="358" spans="1:18" ht="12.75" customHeight="1">
      <c r="B358" s="49" t="s">
        <v>2255</v>
      </c>
      <c r="C358" s="29" t="s">
        <v>4129</v>
      </c>
      <c r="I358" s="49" t="s">
        <v>2255</v>
      </c>
      <c r="J358" s="4436"/>
      <c r="K358" s="4437"/>
      <c r="L358" s="49" t="s">
        <v>2255</v>
      </c>
      <c r="M358" s="1513"/>
      <c r="N358" s="1514"/>
      <c r="O358" s="1514"/>
      <c r="P358" s="1515"/>
      <c r="R358" s="307"/>
    </row>
    <row r="359" spans="1:18" ht="12.75" customHeight="1">
      <c r="A359" s="152"/>
      <c r="B359" s="48" t="s">
        <v>2256</v>
      </c>
      <c r="C359" s="29" t="s">
        <v>3069</v>
      </c>
      <c r="I359" s="48" t="s">
        <v>2256</v>
      </c>
      <c r="J359" s="4436"/>
      <c r="K359" s="4437"/>
      <c r="L359" s="48" t="s">
        <v>2256</v>
      </c>
      <c r="M359" s="4438"/>
      <c r="N359" s="4439"/>
      <c r="O359" s="4439"/>
      <c r="P359" s="4440"/>
      <c r="R359" s="307"/>
    </row>
    <row r="360" spans="1:18" ht="12.75" customHeight="1">
      <c r="B360" s="48" t="s">
        <v>2257</v>
      </c>
      <c r="C360" s="29" t="s">
        <v>4494</v>
      </c>
      <c r="I360" s="48" t="s">
        <v>2257</v>
      </c>
      <c r="J360" s="4436"/>
      <c r="K360" s="4437"/>
      <c r="L360" s="48" t="s">
        <v>2257</v>
      </c>
      <c r="M360" s="4438"/>
      <c r="N360" s="4439"/>
      <c r="O360" s="4439"/>
      <c r="P360" s="4440"/>
      <c r="R360" s="307"/>
    </row>
    <row r="361" spans="1:18" ht="12.75" customHeight="1">
      <c r="B361" s="48" t="s">
        <v>3071</v>
      </c>
      <c r="C361" s="29" t="s">
        <v>3701</v>
      </c>
      <c r="I361" s="48" t="s">
        <v>3071</v>
      </c>
      <c r="J361" s="4436"/>
      <c r="K361" s="4437"/>
      <c r="L361" s="48" t="s">
        <v>3071</v>
      </c>
      <c r="M361" s="4438"/>
      <c r="N361" s="4439"/>
      <c r="O361" s="4439"/>
      <c r="P361" s="4440"/>
      <c r="R361" s="307"/>
    </row>
    <row r="362" spans="1:18" ht="12.75" customHeight="1" thickBot="1">
      <c r="B362" s="48" t="s">
        <v>4130</v>
      </c>
      <c r="C362" s="29" t="s">
        <v>4131</v>
      </c>
      <c r="I362" s="48" t="s">
        <v>4130</v>
      </c>
      <c r="J362" s="4436"/>
      <c r="K362" s="4437"/>
      <c r="L362" s="48" t="s">
        <v>4130</v>
      </c>
      <c r="M362" s="4477"/>
      <c r="N362" s="4478"/>
      <c r="O362" s="4478"/>
      <c r="P362" s="4479"/>
      <c r="R362" s="307"/>
    </row>
    <row r="363" spans="1:18" ht="12.75" customHeight="1" thickBot="1">
      <c r="B363" s="906" t="s">
        <v>4495</v>
      </c>
      <c r="H363" s="89" t="s">
        <v>2406</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453" t="e">
        <f>#REF!</f>
        <v>#REF!</v>
      </c>
      <c r="K365" s="4454"/>
      <c r="L365" s="429"/>
      <c r="M365" s="392"/>
      <c r="N365" s="392"/>
      <c r="O365" s="868"/>
      <c r="P365" s="392"/>
    </row>
    <row r="366" spans="1:18" ht="13.5" customHeight="1">
      <c r="C366" s="230"/>
      <c r="D366" s="230"/>
      <c r="E366" s="230"/>
      <c r="F366" s="348" t="s">
        <v>4133</v>
      </c>
      <c r="J366" s="4451" t="e">
        <f>IF(J365=0,0,J363/J365)</f>
        <v>#REF!</v>
      </c>
      <c r="K366" s="4452"/>
      <c r="M366" s="4577" t="e">
        <f>IF($J365=0,0,$M363/$J365)</f>
        <v>#REF!</v>
      </c>
      <c r="N366" s="4578"/>
      <c r="O366" s="4578"/>
      <c r="P366" s="4579"/>
    </row>
    <row r="367" spans="1:18" s="36" customFormat="1" ht="12.75" customHeight="1">
      <c r="C367" s="230"/>
      <c r="D367" s="230"/>
      <c r="E367" s="230"/>
      <c r="F367" s="44" t="s">
        <v>4134</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7" t="s">
        <v>4496</v>
      </c>
      <c r="D370" s="4107"/>
      <c r="E370" s="4107"/>
      <c r="F370" s="4107"/>
      <c r="G370" s="4107"/>
      <c r="H370" s="4107"/>
      <c r="I370" s="4107"/>
      <c r="J370" s="4107"/>
      <c r="K370" s="4107"/>
      <c r="L370" s="4107"/>
      <c r="M370" s="4107"/>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3155</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3761</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264" t="s">
        <v>4497</v>
      </c>
      <c r="C383" s="4264"/>
      <c r="D383" s="4264"/>
      <c r="E383" s="4264"/>
      <c r="F383" s="4264"/>
      <c r="G383" s="4264"/>
      <c r="H383" s="4264"/>
      <c r="I383" s="4264"/>
      <c r="J383" s="4264"/>
      <c r="K383" s="4264"/>
      <c r="L383" s="4264"/>
      <c r="M383" s="4476" t="s">
        <v>3762</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2510</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2511</v>
      </c>
      <c r="N386" s="332"/>
      <c r="O386" s="4474" t="e">
        <f>IF(O385=0,0,O384/O385)</f>
        <v>#REF!</v>
      </c>
      <c r="P386" s="4475"/>
      <c r="Q386" s="147"/>
    </row>
    <row r="387" spans="1:19" s="36" customFormat="1" ht="105.75" customHeight="1">
      <c r="A387" s="410"/>
      <c r="B387" s="4253" t="s">
        <v>3325</v>
      </c>
      <c r="C387" s="4254"/>
      <c r="D387" s="4254"/>
      <c r="E387" s="4254"/>
      <c r="F387" s="4254"/>
      <c r="G387" s="4254"/>
      <c r="H387" s="4254"/>
      <c r="I387" s="4254"/>
      <c r="J387" s="4254"/>
      <c r="K387" s="4254"/>
      <c r="L387" s="4254"/>
      <c r="M387" s="4254"/>
      <c r="N387" s="4254"/>
      <c r="O387" s="4254"/>
      <c r="P387" s="42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4637</v>
      </c>
      <c r="R441" s="4352"/>
      <c r="S441" s="4352"/>
      <c r="T441" s="4352"/>
      <c r="U441" s="4352"/>
      <c r="V441" s="4352"/>
      <c r="W441" s="4352"/>
      <c r="X441" s="4352"/>
      <c r="Y441" s="4352"/>
      <c r="Z441" s="4352"/>
      <c r="AA441" s="4352"/>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7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4592</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15"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70" t="s">
        <v>1405</v>
      </c>
      <c r="H466" s="4570"/>
      <c r="I466" s="4570"/>
      <c r="J466" s="68" t="s">
        <v>2941</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2446</v>
      </c>
      <c r="J501" s="68"/>
      <c r="K501" s="68"/>
      <c r="L501" s="502"/>
      <c r="M501" s="68"/>
      <c r="N501" s="869"/>
      <c r="O501" s="2038"/>
      <c r="P501" s="2038"/>
      <c r="Q501" s="68"/>
    </row>
    <row r="502" spans="3:17" s="115" customFormat="1">
      <c r="C502" s="685"/>
      <c r="D502" s="68"/>
      <c r="E502" s="68"/>
      <c r="F502" s="68"/>
      <c r="G502" s="1423" t="s">
        <v>1744</v>
      </c>
      <c r="H502" s="869" t="s">
        <v>3935</v>
      </c>
      <c r="I502" s="1758" t="s">
        <v>2446</v>
      </c>
      <c r="J502" s="68"/>
      <c r="K502" s="68"/>
      <c r="L502" s="502"/>
      <c r="M502" s="68"/>
      <c r="N502" s="869"/>
      <c r="O502" s="2038"/>
      <c r="P502" s="2038"/>
      <c r="Q502" s="68"/>
    </row>
    <row r="503" spans="3:17" s="115" customFormat="1">
      <c r="C503" s="685"/>
      <c r="D503" s="68"/>
      <c r="E503" s="68"/>
      <c r="F503" s="68"/>
      <c r="G503" s="1423" t="s">
        <v>471</v>
      </c>
      <c r="H503" s="869" t="s">
        <v>3935</v>
      </c>
      <c r="I503" s="1758" t="s">
        <v>2446</v>
      </c>
      <c r="J503" s="68"/>
      <c r="K503" s="68"/>
      <c r="L503" s="502"/>
      <c r="M503" s="68"/>
      <c r="N503" s="869"/>
      <c r="O503" s="2038"/>
      <c r="P503" s="2038"/>
      <c r="Q503" s="68"/>
    </row>
    <row r="504" spans="3:17" s="115" customFormat="1">
      <c r="C504" s="685"/>
      <c r="D504" s="68"/>
      <c r="E504" s="68"/>
      <c r="F504" s="68"/>
      <c r="G504" s="1423" t="s">
        <v>1946</v>
      </c>
      <c r="H504" s="869" t="s">
        <v>3935</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A43" sqref="A43:L4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08" t="str">
        <f>CONCATENATE("Part I-Project Identification"," - ",$O$7," ",$F$26,", ",$F$27,", ",J27," County")</f>
        <v>Part I-Project Identification - 2024-0 Pinecrest Village, Douglas, Coffee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4638</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5220</v>
      </c>
      <c r="B6" s="2912"/>
      <c r="C6" s="2912"/>
      <c r="D6" s="2912"/>
      <c r="F6" s="242"/>
      <c r="G6" s="224" t="s">
        <v>3699</v>
      </c>
      <c r="L6" s="374"/>
      <c r="P6" s="1698" t="s">
        <v>3204</v>
      </c>
      <c r="Z6" s="1618">
        <v>6</v>
      </c>
      <c r="AA6" s="1729">
        <v>5</v>
      </c>
    </row>
    <row r="7" spans="1:28" s="144" customFormat="1" ht="12" customHeight="1" thickBot="1">
      <c r="A7" s="2912"/>
      <c r="B7" s="2912"/>
      <c r="C7" s="2912"/>
      <c r="D7" s="2912"/>
      <c r="E7" s="983"/>
      <c r="F7" s="244"/>
      <c r="G7" s="224" t="s">
        <v>3984</v>
      </c>
      <c r="H7" s="248"/>
      <c r="I7" s="248"/>
      <c r="J7" s="248"/>
      <c r="O7" s="2913" t="s">
        <v>4749</v>
      </c>
      <c r="P7" s="2914"/>
      <c r="Q7" s="2915" t="s">
        <v>4529</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3181</v>
      </c>
      <c r="I10" s="2923">
        <f>'Part III-A-Uses of Funds'!$J$191</f>
        <v>1215000</v>
      </c>
      <c r="J10" s="2924"/>
      <c r="L10" s="144" t="s">
        <v>3182</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1886</v>
      </c>
      <c r="F12" s="2927" t="s">
        <v>5127</v>
      </c>
      <c r="G12" s="2928"/>
      <c r="H12" s="2929"/>
      <c r="I12" s="1699" t="s">
        <v>4412</v>
      </c>
      <c r="J12" s="1457" t="s">
        <v>4823</v>
      </c>
      <c r="K12" s="243"/>
      <c r="L12" s="248"/>
      <c r="O12" s="2930" t="s">
        <v>5177</v>
      </c>
      <c r="P12" s="2931"/>
      <c r="Q12" s="2917"/>
      <c r="R12" s="2918"/>
      <c r="S12" s="2919"/>
      <c r="Z12" s="1618">
        <v>12</v>
      </c>
      <c r="AA12" s="1729">
        <v>11</v>
      </c>
    </row>
    <row r="13" spans="1:28" s="1990" customFormat="1" ht="15">
      <c r="A13" s="1963"/>
      <c r="C13" s="1969"/>
      <c r="D13" s="1969"/>
      <c r="E13" s="1969"/>
      <c r="F13" s="2095" t="s">
        <v>4822</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3551</v>
      </c>
      <c r="D15" s="246"/>
      <c r="E15" s="245"/>
      <c r="G15" s="245"/>
      <c r="H15" s="245"/>
      <c r="I15" s="738" t="s">
        <v>3209</v>
      </c>
      <c r="L15" s="247"/>
      <c r="Q15" s="2917"/>
      <c r="R15" s="2918"/>
      <c r="S15" s="2919"/>
      <c r="Z15" s="1618">
        <v>15</v>
      </c>
      <c r="AA15" s="1729">
        <v>14</v>
      </c>
    </row>
    <row r="16" spans="1:28" s="144" customFormat="1">
      <c r="B16" s="144" t="s">
        <v>3210</v>
      </c>
      <c r="F16" s="2932" t="s">
        <v>5130</v>
      </c>
      <c r="G16" s="2933"/>
      <c r="H16" s="2934"/>
      <c r="I16" s="2044" t="s">
        <v>1665</v>
      </c>
      <c r="J16" s="2942" t="s">
        <v>5128</v>
      </c>
      <c r="K16" s="2937"/>
      <c r="L16" s="2938"/>
      <c r="M16" s="1808" t="s">
        <v>1834</v>
      </c>
      <c r="N16" s="2932" t="s">
        <v>2272</v>
      </c>
      <c r="O16" s="2933"/>
      <c r="P16" s="2934"/>
      <c r="Q16" s="2917"/>
      <c r="R16" s="2918"/>
      <c r="S16" s="2919"/>
      <c r="Z16" s="1618">
        <v>16</v>
      </c>
      <c r="AA16" s="1729">
        <v>15</v>
      </c>
    </row>
    <row r="17" spans="1:27" s="144" customFormat="1" ht="12.75" customHeight="1">
      <c r="B17" s="246" t="s">
        <v>1597</v>
      </c>
      <c r="F17" s="2943">
        <v>6788956172</v>
      </c>
      <c r="G17" s="2944"/>
      <c r="H17" s="2945"/>
      <c r="I17" s="2045" t="s">
        <v>1596</v>
      </c>
      <c r="J17" s="810"/>
      <c r="M17" s="246" t="s">
        <v>1598</v>
      </c>
      <c r="N17" s="2943">
        <v>6788956172</v>
      </c>
      <c r="O17" s="2944"/>
      <c r="P17" s="2945"/>
      <c r="Q17" s="2917"/>
      <c r="R17" s="2918"/>
      <c r="S17" s="2919"/>
      <c r="V17" s="738"/>
      <c r="W17" s="738"/>
      <c r="X17" s="738"/>
      <c r="Z17" s="1618">
        <v>17</v>
      </c>
      <c r="AA17" s="1729">
        <v>16</v>
      </c>
    </row>
    <row r="18" spans="1:27" s="144" customFormat="1">
      <c r="B18" s="246" t="s">
        <v>1837</v>
      </c>
      <c r="F18" s="2935" t="s">
        <v>5129</v>
      </c>
      <c r="G18" s="2936"/>
      <c r="H18" s="2936"/>
      <c r="I18" s="2937"/>
      <c r="J18" s="2936"/>
      <c r="K18" s="2937"/>
      <c r="L18" s="2938"/>
      <c r="M18" s="246" t="s">
        <v>1833</v>
      </c>
      <c r="N18" s="2939">
        <v>6788956172</v>
      </c>
      <c r="O18" s="2940"/>
      <c r="P18" s="2941"/>
      <c r="Q18" s="2917"/>
      <c r="R18" s="2918"/>
      <c r="S18" s="2919"/>
      <c r="U18" s="738"/>
      <c r="V18" s="738"/>
      <c r="W18" s="738"/>
      <c r="X18" s="738"/>
      <c r="Z18" s="1618">
        <v>18</v>
      </c>
      <c r="AA18" s="1729">
        <v>17</v>
      </c>
    </row>
    <row r="19" spans="1:27" s="144" customFormat="1">
      <c r="A19" s="374"/>
      <c r="B19" s="243" t="s">
        <v>3550</v>
      </c>
      <c r="C19" s="145"/>
      <c r="H19" s="248"/>
      <c r="J19" s="145"/>
      <c r="P19" s="248"/>
      <c r="Q19" s="2917"/>
      <c r="R19" s="2918"/>
      <c r="S19" s="2919"/>
      <c r="Z19" s="1618">
        <v>19</v>
      </c>
      <c r="AA19" s="1729">
        <v>18</v>
      </c>
    </row>
    <row r="20" spans="1:27" s="144" customFormat="1">
      <c r="B20" s="144" t="s">
        <v>3210</v>
      </c>
      <c r="F20" s="2932" t="s">
        <v>5130</v>
      </c>
      <c r="G20" s="2933"/>
      <c r="H20" s="2934"/>
      <c r="I20" s="2044" t="s">
        <v>1665</v>
      </c>
      <c r="J20" s="2942" t="s">
        <v>5131</v>
      </c>
      <c r="K20" s="2937"/>
      <c r="L20" s="2938"/>
      <c r="M20" s="1808" t="s">
        <v>1834</v>
      </c>
      <c r="N20" s="2932" t="s">
        <v>2272</v>
      </c>
      <c r="O20" s="2933"/>
      <c r="P20" s="2934"/>
      <c r="Q20" s="2917"/>
      <c r="R20" s="2918"/>
      <c r="S20" s="2919"/>
      <c r="Z20" s="1618">
        <v>20</v>
      </c>
      <c r="AA20" s="1729">
        <v>19</v>
      </c>
    </row>
    <row r="21" spans="1:27" s="144" customFormat="1">
      <c r="B21" s="246" t="s">
        <v>1597</v>
      </c>
      <c r="F21" s="2943">
        <v>6785952542</v>
      </c>
      <c r="G21" s="2944"/>
      <c r="H21" s="2945"/>
      <c r="I21" s="2045" t="s">
        <v>1596</v>
      </c>
      <c r="J21" s="810"/>
      <c r="M21" s="246" t="s">
        <v>1598</v>
      </c>
      <c r="N21" s="2943">
        <v>6785952542</v>
      </c>
      <c r="O21" s="2944"/>
      <c r="P21" s="2945"/>
      <c r="Q21" s="2917"/>
      <c r="R21" s="2918"/>
      <c r="S21" s="2919"/>
      <c r="U21" s="230"/>
      <c r="V21" s="230"/>
      <c r="W21" s="230"/>
      <c r="X21" s="230"/>
      <c r="Z21" s="1618">
        <v>21</v>
      </c>
      <c r="AA21" s="1729">
        <v>20</v>
      </c>
    </row>
    <row r="22" spans="1:27" s="144" customFormat="1">
      <c r="B22" s="246" t="s">
        <v>1837</v>
      </c>
      <c r="F22" s="2935" t="s">
        <v>5132</v>
      </c>
      <c r="G22" s="2936"/>
      <c r="H22" s="2936"/>
      <c r="I22" s="2937"/>
      <c r="J22" s="2936"/>
      <c r="K22" s="2937"/>
      <c r="L22" s="2938"/>
      <c r="M22" s="246" t="s">
        <v>1833</v>
      </c>
      <c r="N22" s="2939">
        <v>6785952542</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5176</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814</v>
      </c>
      <c r="G27" s="2950"/>
      <c r="H27" s="2951"/>
      <c r="I27" s="257" t="s">
        <v>575</v>
      </c>
      <c r="J27" s="2952" t="str">
        <f>IF(F27="","",VLOOKUP(F27,'DCA Underwriting Assumptions'!$T$166:$U$795,2,FALSE))</f>
        <v>Coffee</v>
      </c>
      <c r="K27" s="2953"/>
      <c r="M27" s="246" t="s">
        <v>425</v>
      </c>
      <c r="P27" s="1866" t="s">
        <v>2644</v>
      </c>
      <c r="Q27" s="2917"/>
      <c r="R27" s="2918"/>
      <c r="S27" s="2919"/>
      <c r="U27" s="374"/>
      <c r="Z27" s="1618">
        <v>27</v>
      </c>
      <c r="AA27" s="1729">
        <v>26</v>
      </c>
    </row>
    <row r="28" spans="1:27" s="144" customFormat="1" ht="13.5">
      <c r="A28" s="374"/>
      <c r="B28" s="144" t="s">
        <v>3781</v>
      </c>
      <c r="C28" s="251"/>
      <c r="D28" s="252"/>
      <c r="E28" s="252"/>
      <c r="F28" s="2949" t="s">
        <v>5133</v>
      </c>
      <c r="G28" s="2954"/>
      <c r="H28" s="2955"/>
      <c r="I28" s="248"/>
      <c r="J28" s="391" t="s">
        <v>4617</v>
      </c>
      <c r="K28" s="248"/>
      <c r="M28" s="246" t="s">
        <v>4560</v>
      </c>
      <c r="O28" s="2956">
        <v>8.1</v>
      </c>
      <c r="P28" s="2957"/>
      <c r="Q28" s="2917"/>
      <c r="R28" s="2918"/>
      <c r="S28" s="2919"/>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52" t="str">
        <f>IF($F$27="","",VLOOKUP($J$27,'DCA Underwriting Assumptions'!$G$166:$L$325,3,FALSE))</f>
        <v>Coffee Co.</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4547</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4546</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3807</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BSKJ+UP0BTHFoyQRGd3qiDNE0WYIg5xvq9k+6z3RcMX+xgMRuu5pwnCkpnItCoIDejeAYpNXszsLkcSjgRQYGg==" saltValue="k2nW9X0xJ3rsMPPYJ3IgR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41" t="s">
        <v>2574</v>
      </c>
      <c r="B1" s="4641"/>
      <c r="C1" s="4641"/>
      <c r="D1" s="4641"/>
      <c r="E1" s="4641"/>
      <c r="F1" s="4641"/>
      <c r="G1" s="4641"/>
      <c r="H1" s="4641"/>
      <c r="I1" s="4641"/>
      <c r="J1" s="4641"/>
    </row>
    <row r="2" spans="1:16" ht="15.75">
      <c r="A2" s="4641" t="str">
        <f>'Sensitivity Analysis'!C8</f>
        <v>Pinecrest Village</v>
      </c>
      <c r="B2" s="4641"/>
      <c r="C2" s="4641"/>
      <c r="D2" s="4641"/>
      <c r="E2" s="4641"/>
      <c r="F2" s="4641"/>
      <c r="G2" s="4641"/>
      <c r="H2" s="4641"/>
      <c r="I2" s="4641"/>
      <c r="J2" s="4641"/>
    </row>
    <row r="3" spans="1:16" ht="15.75">
      <c r="A3" s="4641" t="str">
        <f>'Subsidy Layering Memo'!F14</f>
        <v>Douglas, Coffee</v>
      </c>
      <c r="B3" s="4641"/>
      <c r="C3" s="4641"/>
      <c r="D3" s="4641"/>
      <c r="E3" s="4641"/>
      <c r="F3" s="4641"/>
      <c r="G3" s="4641"/>
      <c r="H3" s="4641"/>
      <c r="I3" s="4641"/>
      <c r="J3" s="4641"/>
    </row>
    <row r="4" spans="1:16" ht="15.75">
      <c r="A4" s="4642" t="s">
        <v>2575</v>
      </c>
      <c r="B4" s="4641"/>
      <c r="C4" s="4641"/>
      <c r="D4" s="4641"/>
      <c r="E4" s="4641"/>
      <c r="F4" s="4641"/>
      <c r="G4" s="4641"/>
      <c r="H4" s="4641"/>
      <c r="I4" s="4641"/>
      <c r="J4" s="4641"/>
    </row>
    <row r="5" spans="1:16" ht="5.25" customHeight="1"/>
    <row r="6" spans="1:16" ht="5.25" customHeight="1"/>
    <row r="7" spans="1:16" ht="15.75">
      <c r="A7" s="4643" t="s">
        <v>2576</v>
      </c>
      <c r="B7" s="4643"/>
      <c r="C7" s="4644"/>
      <c r="M7" s="4635"/>
      <c r="N7" s="4635"/>
      <c r="O7" s="4635"/>
      <c r="P7" s="4635"/>
    </row>
    <row r="8" spans="1:16" ht="57" customHeight="1">
      <c r="A8" s="4636" t="s">
        <v>4051</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 Coffee County, Georgia, with the development of 48 units set aside for &lt;&lt; Select PROPOSED Tenancy &gt;&gt;.</v>
      </c>
      <c r="B9" s="4636"/>
      <c r="C9" s="4636"/>
      <c r="D9" s="4636"/>
      <c r="E9" s="4636"/>
      <c r="F9" s="4636"/>
      <c r="G9" s="4636"/>
      <c r="H9" s="4636"/>
      <c r="I9" s="4636"/>
      <c r="J9" s="4636"/>
      <c r="K9" s="505"/>
    </row>
    <row r="10" spans="1:16" ht="15.75">
      <c r="A10" s="506" t="s">
        <v>2577</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75">
      <c r="A14" s="506" t="s">
        <v>2578</v>
      </c>
      <c r="B14" s="507"/>
    </row>
    <row r="15" spans="1:16">
      <c r="A15" s="504" t="s">
        <v>2579</v>
      </c>
      <c r="D15" s="1002" t="s">
        <v>2580</v>
      </c>
    </row>
    <row r="16" spans="1:16">
      <c r="A16" s="504" t="s">
        <v>2581</v>
      </c>
      <c r="D16" s="1195">
        <f>'Sensitivity Analysis'!C25</f>
        <v>492288</v>
      </c>
    </row>
    <row r="17" spans="1:11">
      <c r="A17" s="508" t="s">
        <v>2582</v>
      </c>
      <c r="D17" s="1196">
        <f>'Sensitivity Analysis'!C13</f>
        <v>48</v>
      </c>
    </row>
    <row r="18" spans="1:11" ht="14.25" customHeight="1"/>
    <row r="19" spans="1:11" ht="15.75">
      <c r="A19" s="506" t="s">
        <v>2583</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9719028 via the syndication of the 2024 Federal LIHTC allocation of 1215000 per annum. will make a capital contribution totaling 5017448 via the syndication of the 2024 State LIHTC allocation of 1215000 per annum.</v>
      </c>
      <c r="B21" s="4636"/>
      <c r="C21" s="4636"/>
      <c r="D21" s="4636"/>
      <c r="E21" s="4636"/>
      <c r="F21" s="4636"/>
      <c r="G21" s="4636"/>
      <c r="H21" s="4636"/>
      <c r="I21" s="4636"/>
      <c r="J21" s="4636"/>
    </row>
    <row r="22" spans="1:11" ht="43.5" customHeight="1">
      <c r="A22" s="4640" t="str">
        <f>'Subsidy Layering Memo'!A68</f>
        <v xml:space="preserve">The total equity price per credit will be 1.213 (0.8 Federal tax credit and 0.413 State tax credit) for a (X%) ownership interest of the Federal Credits and a (X%) ownership interest of the State Credits. </v>
      </c>
      <c r="B22" s="4640"/>
      <c r="C22" s="4640"/>
      <c r="D22" s="4640"/>
      <c r="E22" s="4640"/>
      <c r="F22" s="4640"/>
      <c r="G22" s="4640"/>
      <c r="H22" s="4640"/>
      <c r="I22" s="4640"/>
      <c r="J22" s="4640"/>
    </row>
    <row r="23" spans="1:11" ht="15.75">
      <c r="A23" s="506" t="s">
        <v>4052</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Pinecrest Village</v>
      </c>
    </row>
    <row r="13" spans="1:10" ht="15">
      <c r="A13" s="514"/>
      <c r="D13" s="513" t="s">
        <v>2597</v>
      </c>
      <c r="F13" s="1003" t="str">
        <f>'Sensitivity Analysis'!E8</f>
        <v>2024-0</v>
      </c>
    </row>
    <row r="14" spans="1:10" ht="15">
      <c r="A14" s="514"/>
      <c r="D14" s="513" t="s">
        <v>2598</v>
      </c>
      <c r="F14" s="1003" t="str">
        <f>'Sensitivity Analysis'!H8</f>
        <v>Douglas, Coffee</v>
      </c>
    </row>
    <row r="15" spans="1:10" ht="15">
      <c r="A15" s="514"/>
      <c r="D15" s="513" t="s">
        <v>2881</v>
      </c>
      <c r="F15" s="4645">
        <f>'Sensitivity Analysis'!$C$25</f>
        <v>492288</v>
      </c>
      <c r="G15" s="4645"/>
      <c r="H15" s="4645"/>
    </row>
    <row r="16" spans="1:10">
      <c r="D16" s="516" t="s">
        <v>4945</v>
      </c>
      <c r="F16" s="2390">
        <f>'Sensitivity Analysis'!C13</f>
        <v>48</v>
      </c>
      <c r="G16" s="2388">
        <f>'Sensitivity Analysis'!E13</f>
        <v>48</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Rural</v>
      </c>
    </row>
    <row r="19" spans="1:18" ht="15">
      <c r="A19" s="514"/>
      <c r="D19" s="516" t="s">
        <v>2882</v>
      </c>
      <c r="F19" s="1003">
        <f>'Sensitivity Analysis'!E16</f>
        <v>0</v>
      </c>
    </row>
    <row r="20" spans="1:18" ht="15">
      <c r="A20" s="514"/>
      <c r="D20" s="516"/>
    </row>
    <row r="21" spans="1:18" ht="15">
      <c r="A21" s="519" t="s">
        <v>4054</v>
      </c>
    </row>
    <row r="22" spans="1:18" ht="111.75" customHeight="1">
      <c r="A22" s="4651" t="s">
        <v>3013</v>
      </c>
      <c r="B22" s="4651"/>
      <c r="C22" s="4651"/>
      <c r="D22" s="4651"/>
      <c r="E22" s="4651"/>
      <c r="F22" s="4651"/>
      <c r="G22" s="4651"/>
      <c r="H22" s="4651"/>
      <c r="I22" s="4651"/>
      <c r="J22" s="4651"/>
      <c r="K22" s="4653" t="s">
        <v>3773</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ht="15">
      <c r="A26" s="519" t="s">
        <v>4053</v>
      </c>
    </row>
    <row r="27" spans="1:18" ht="14.25" customHeight="1">
      <c r="A27" s="4659" t="s">
        <v>4055</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4056</v>
      </c>
      <c r="B36" s="4658"/>
      <c r="C36" s="4658"/>
      <c r="D36" s="1190"/>
      <c r="E36" s="1190"/>
      <c r="F36" s="1190"/>
      <c r="G36" s="1190"/>
      <c r="H36" s="1190"/>
      <c r="I36" s="1190"/>
      <c r="J36" s="1190"/>
    </row>
    <row r="37" spans="1:10" ht="22.5" customHeight="1">
      <c r="A37" s="4640" t="s">
        <v>1611</v>
      </c>
      <c r="B37" s="4640"/>
      <c r="C37" s="4640"/>
      <c r="D37" s="4640"/>
      <c r="E37" s="4640"/>
      <c r="F37" s="4640"/>
      <c r="G37" s="4640"/>
      <c r="H37" s="4640"/>
      <c r="I37" s="4640"/>
      <c r="J37" s="4640"/>
    </row>
    <row r="38" spans="1:10" ht="22.5" customHeight="1">
      <c r="A38" s="4640" t="s">
        <v>1612</v>
      </c>
      <c r="B38" s="4640"/>
      <c r="C38" s="4640"/>
      <c r="D38" s="4640"/>
      <c r="E38" s="4640"/>
      <c r="F38" s="4640"/>
      <c r="G38" s="4640"/>
      <c r="H38" s="4640"/>
      <c r="I38" s="4640"/>
      <c r="J38" s="4640"/>
    </row>
    <row r="39" spans="1:10" ht="22.5" customHeight="1">
      <c r="A39" s="4640" t="s">
        <v>1613</v>
      </c>
      <c r="B39" s="4640"/>
      <c r="C39" s="4640"/>
      <c r="D39" s="4640"/>
      <c r="E39" s="4640"/>
      <c r="F39" s="4640"/>
      <c r="G39" s="4640"/>
      <c r="H39" s="4640"/>
      <c r="I39" s="4640"/>
      <c r="J39" s="4640"/>
    </row>
    <row r="40" spans="1:10" ht="22.5" customHeight="1">
      <c r="A40" s="4640" t="s">
        <v>2176</v>
      </c>
      <c r="B40" s="4640"/>
      <c r="C40" s="4640"/>
      <c r="D40" s="4640"/>
      <c r="E40" s="4640"/>
      <c r="F40" s="4640"/>
      <c r="G40" s="4640"/>
      <c r="H40" s="4640"/>
      <c r="I40" s="4640"/>
      <c r="J40" s="4640"/>
    </row>
    <row r="41" spans="1:10" ht="22.5" customHeight="1">
      <c r="A41" s="4640" t="s">
        <v>1446</v>
      </c>
      <c r="B41" s="4640"/>
      <c r="C41" s="4640"/>
      <c r="D41" s="4640"/>
      <c r="E41" s="4640"/>
      <c r="F41" s="4640"/>
      <c r="G41" s="4640"/>
      <c r="H41" s="4640"/>
      <c r="I41" s="4640"/>
      <c r="J41" s="4640"/>
    </row>
    <row r="42" spans="1:10" ht="22.5" customHeight="1">
      <c r="A42" s="4640" t="s">
        <v>1447</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480</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ht="15">
      <c r="A46" s="519" t="s">
        <v>2599</v>
      </c>
    </row>
    <row r="47" spans="1:10" ht="135" customHeight="1">
      <c r="A47" s="4640" t="s">
        <v>4946</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ht="15">
      <c r="A49" s="519" t="s">
        <v>2600</v>
      </c>
    </row>
    <row r="50" spans="1:12" ht="33" customHeight="1">
      <c r="A50" s="4636" t="s">
        <v>3362</v>
      </c>
      <c r="B50" s="4638"/>
      <c r="C50" s="4638"/>
      <c r="D50" s="4638"/>
      <c r="E50" s="4638"/>
      <c r="F50" s="4638"/>
      <c r="G50" s="4638"/>
      <c r="H50" s="4638"/>
      <c r="I50" s="4638"/>
      <c r="J50" s="4636"/>
    </row>
    <row r="51" spans="1:12" ht="3" customHeight="1"/>
    <row r="52" spans="1:12" ht="72.75" customHeight="1">
      <c r="A52" s="4636" t="s">
        <v>3363</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3364</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3365</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2889</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3366</v>
      </c>
      <c r="B60" s="4636"/>
      <c r="C60" s="4636"/>
      <c r="D60" s="4636"/>
      <c r="E60" s="4636"/>
      <c r="F60" s="4636"/>
      <c r="G60" s="4636"/>
      <c r="H60" s="4636"/>
      <c r="I60" s="4636"/>
      <c r="J60" s="4636"/>
    </row>
    <row r="61" spans="1:12" ht="3" customHeight="1"/>
    <row r="62" spans="1:12" ht="73.5" customHeight="1">
      <c r="A62" s="4636" t="s">
        <v>3367</v>
      </c>
      <c r="B62" s="4636"/>
      <c r="C62" s="4636"/>
      <c r="D62" s="4636"/>
      <c r="E62" s="4636"/>
      <c r="F62" s="4636"/>
      <c r="G62" s="4636"/>
      <c r="H62" s="4636"/>
      <c r="I62" s="4636"/>
      <c r="J62" s="4636"/>
    </row>
    <row r="63" spans="1:12" ht="6" customHeight="1">
      <c r="A63" s="1190" t="s">
        <v>233</v>
      </c>
      <c r="B63" s="1190"/>
      <c r="C63" s="1190"/>
      <c r="D63" s="1190"/>
      <c r="E63" s="1190"/>
      <c r="F63" s="1190"/>
      <c r="G63" s="1190"/>
      <c r="H63" s="1190"/>
      <c r="I63" s="1190"/>
      <c r="J63" s="1190"/>
    </row>
    <row r="64" spans="1:12" ht="15">
      <c r="A64" s="519" t="s">
        <v>2601</v>
      </c>
      <c r="L64" s="520" t="s">
        <v>3005</v>
      </c>
    </row>
    <row r="65" spans="1:17" ht="46.5" customHeight="1">
      <c r="A65" s="4651" t="s">
        <v>2602</v>
      </c>
      <c r="B65" s="4651"/>
      <c r="C65" s="4651"/>
      <c r="D65" s="4651"/>
      <c r="E65" s="4651"/>
      <c r="F65" s="4651"/>
      <c r="G65" s="4651"/>
      <c r="H65" s="4651"/>
      <c r="I65" s="4651"/>
      <c r="J65" s="4651"/>
      <c r="L65" s="521">
        <f>'Closing term sheet'!C135</f>
        <v>653300</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5017448 via the syndication of the 2024 State LIHTC allocation of 1215000 per annum.</v>
      </c>
      <c r="B67" s="4636"/>
      <c r="C67" s="4636"/>
      <c r="D67" s="4636"/>
      <c r="E67" s="4636"/>
      <c r="F67" s="4636"/>
      <c r="G67" s="4636"/>
      <c r="H67" s="4636"/>
      <c r="I67" s="4636"/>
      <c r="J67" s="526"/>
      <c r="L67" s="2391">
        <f>'Part II-Sources of Funds'!I51</f>
        <v>9719028</v>
      </c>
      <c r="M67" s="2392">
        <f>'Part III-A-Uses of Funds'!$J$191</f>
        <v>1215000</v>
      </c>
      <c r="N67" s="2393">
        <f>'Part III-A-Uses of Funds'!N182</f>
        <v>0.8</v>
      </c>
      <c r="O67" s="2391">
        <f>'Part II-Sources of Funds'!I52</f>
        <v>5017448</v>
      </c>
      <c r="P67" s="2392">
        <f>M67</f>
        <v>1215000</v>
      </c>
      <c r="Q67" s="2393">
        <f>'Part III-A-Uses of Funds'!Q182</f>
        <v>0.41299999999999998</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1.213 (0.8 Federal tax credit and 0.413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2603</v>
      </c>
    </row>
    <row r="70" spans="1:17" ht="177" customHeight="1">
      <c r="A70" s="4636" t="s">
        <v>4947</v>
      </c>
      <c r="B70" s="4636"/>
      <c r="C70" s="4636"/>
      <c r="D70" s="4636"/>
      <c r="E70" s="4636"/>
      <c r="F70" s="4636"/>
      <c r="G70" s="4636"/>
      <c r="H70" s="4636"/>
      <c r="I70" s="4636"/>
      <c r="J70" s="4636"/>
      <c r="L70" s="528">
        <f>'Part VI-Pro Forma'!K72</f>
        <v>239996.86718966751</v>
      </c>
      <c r="M70" s="4652" t="s">
        <v>3012</v>
      </c>
      <c r="N70" s="4653"/>
    </row>
    <row r="71" spans="1:17" ht="6" customHeight="1">
      <c r="A71" s="519"/>
    </row>
    <row r="72" spans="1:17" ht="15">
      <c r="A72" s="519" t="s">
        <v>2604</v>
      </c>
    </row>
    <row r="73" spans="1:17" ht="72.599999999999994" customHeight="1">
      <c r="A73" s="4636" t="s">
        <v>2605</v>
      </c>
      <c r="B73" s="4636"/>
      <c r="C73" s="4636"/>
      <c r="D73" s="4636"/>
      <c r="E73" s="4636"/>
      <c r="F73" s="4636"/>
      <c r="G73" s="4636"/>
      <c r="H73" s="4636"/>
      <c r="I73" s="4636"/>
      <c r="J73" s="4636"/>
    </row>
    <row r="74" spans="1:17" ht="36" customHeight="1">
      <c r="A74" s="4636" t="s">
        <v>2606</v>
      </c>
      <c r="B74" s="4636"/>
      <c r="C74" s="4636"/>
      <c r="D74" s="4636"/>
      <c r="E74" s="4636"/>
      <c r="F74" s="4636"/>
      <c r="G74" s="4636"/>
      <c r="H74" s="4636"/>
      <c r="I74" s="4636"/>
      <c r="J74" s="4636"/>
    </row>
    <row r="75" spans="1:17" ht="6" customHeight="1">
      <c r="A75" s="519"/>
    </row>
    <row r="76" spans="1:17" ht="15">
      <c r="A76" s="519" t="s">
        <v>2607</v>
      </c>
    </row>
    <row r="77" spans="1:17" ht="105.75" customHeight="1">
      <c r="A77" s="4636" t="s">
        <v>2608</v>
      </c>
      <c r="B77" s="4636"/>
      <c r="C77" s="4636"/>
      <c r="D77" s="4636"/>
      <c r="E77" s="4636"/>
      <c r="F77" s="4636"/>
      <c r="G77" s="4636"/>
      <c r="H77" s="4636"/>
      <c r="I77" s="4636"/>
      <c r="J77" s="4636"/>
    </row>
    <row r="78" spans="1:17" ht="6" customHeight="1">
      <c r="A78" s="519"/>
    </row>
    <row r="79" spans="1:17" ht="15">
      <c r="A79" s="519" t="s">
        <v>2609</v>
      </c>
    </row>
    <row r="80" spans="1:17" ht="66" customHeight="1">
      <c r="A80" s="4636" t="s">
        <v>2610</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2611</v>
      </c>
      <c r="B82" s="518"/>
      <c r="C82" s="518"/>
      <c r="D82" s="1003"/>
      <c r="E82" s="518"/>
      <c r="F82" s="518"/>
      <c r="G82" s="518"/>
      <c r="H82" s="518"/>
      <c r="I82" s="518"/>
      <c r="J82" s="529"/>
    </row>
    <row r="83" spans="1:15" s="1192" customFormat="1" ht="63" customHeight="1">
      <c r="A83" s="4636" t="s">
        <v>3538</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2612</v>
      </c>
      <c r="B85" s="4656"/>
      <c r="C85" s="4656"/>
      <c r="D85" s="518"/>
      <c r="E85" s="518"/>
      <c r="F85" s="518"/>
      <c r="G85" s="518"/>
      <c r="H85" s="518"/>
      <c r="I85" s="518"/>
      <c r="J85" s="529"/>
    </row>
    <row r="86" spans="1:15" ht="41.25" customHeight="1">
      <c r="A86" s="4636" t="s">
        <v>4948</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ht="15">
      <c r="A88" s="519" t="s">
        <v>2613</v>
      </c>
    </row>
    <row r="89" spans="1:15" ht="124.15" customHeight="1">
      <c r="A89" s="4636" t="s">
        <v>2614</v>
      </c>
      <c r="B89" s="4636"/>
      <c r="C89" s="4636"/>
      <c r="D89" s="4636"/>
      <c r="E89" s="4636"/>
      <c r="F89" s="4636"/>
      <c r="G89" s="4636"/>
      <c r="H89" s="4636"/>
      <c r="I89" s="4636"/>
      <c r="J89" s="4636"/>
      <c r="L89" s="4653" t="s">
        <v>2615</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6" t="s">
        <v>2617</v>
      </c>
      <c r="B92" s="4636"/>
      <c r="C92" s="4636"/>
      <c r="D92" s="4636"/>
      <c r="E92" s="4636"/>
      <c r="F92" s="4636"/>
      <c r="G92" s="4636"/>
      <c r="H92" s="4636"/>
      <c r="I92" s="4636"/>
      <c r="J92" s="4636"/>
      <c r="L92" s="4653" t="s">
        <v>2618</v>
      </c>
      <c r="M92" s="4653"/>
      <c r="N92" s="531" t="e">
        <f>'After-Tax Analysis'!G66</f>
        <v>#VALUE!</v>
      </c>
      <c r="O92" s="532" t="s">
        <v>2619</v>
      </c>
    </row>
    <row r="93" spans="1:15" ht="6" customHeight="1">
      <c r="A93" s="519"/>
    </row>
    <row r="94" spans="1:15" ht="15">
      <c r="A94" s="519" t="s">
        <v>2620</v>
      </c>
    </row>
    <row r="95" spans="1:15" ht="118.5" customHeight="1">
      <c r="A95" s="4636" t="s">
        <v>2621</v>
      </c>
      <c r="B95" s="4636"/>
      <c r="C95" s="4636"/>
      <c r="D95" s="4636"/>
      <c r="E95" s="4636"/>
      <c r="F95" s="4636"/>
      <c r="G95" s="4636"/>
      <c r="H95" s="4636"/>
      <c r="I95" s="4636"/>
      <c r="J95" s="4636"/>
    </row>
    <row r="96" spans="1:15" ht="20.25" customHeight="1">
      <c r="A96" s="4638" t="s">
        <v>2622</v>
      </c>
      <c r="B96" s="4638"/>
      <c r="C96" s="4638"/>
      <c r="D96" s="4636"/>
      <c r="E96" s="1190"/>
      <c r="F96" s="1190"/>
      <c r="G96" s="1190"/>
      <c r="H96" s="1190"/>
      <c r="I96" s="1190"/>
      <c r="J96" s="1190"/>
    </row>
    <row r="97" spans="1:14" ht="109.5" customHeight="1">
      <c r="A97" s="4648" t="s">
        <v>2623</v>
      </c>
      <c r="B97" s="4649"/>
      <c r="C97" s="4649"/>
      <c r="D97" s="4649"/>
      <c r="E97" s="4649"/>
      <c r="F97" s="4649"/>
      <c r="G97" s="4649"/>
      <c r="H97" s="4649"/>
      <c r="I97" s="4649"/>
      <c r="J97" s="4649"/>
    </row>
    <row r="98" spans="1:14" ht="11.25" customHeight="1">
      <c r="A98" s="519"/>
    </row>
    <row r="99" spans="1:14" ht="15">
      <c r="A99" s="519" t="s">
        <v>2624</v>
      </c>
    </row>
    <row r="100" spans="1:14" ht="110.65" customHeight="1">
      <c r="A100" s="4651" t="s">
        <v>2625</v>
      </c>
      <c r="B100" s="4651"/>
      <c r="C100" s="4651"/>
      <c r="D100" s="4651"/>
      <c r="E100" s="4651"/>
      <c r="F100" s="4651"/>
      <c r="G100" s="4651"/>
      <c r="H100" s="4651"/>
      <c r="I100" s="4651"/>
      <c r="J100" s="4651"/>
      <c r="L100" s="959">
        <f>'Part VI-Pro Forma'!K72</f>
        <v>239996.86718966751</v>
      </c>
      <c r="M100" s="4654" t="s">
        <v>2626</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2627</v>
      </c>
      <c r="B104" s="4638"/>
      <c r="C104" s="4638"/>
      <c r="D104" s="1190"/>
      <c r="E104" s="1190"/>
      <c r="F104" s="1190"/>
      <c r="G104" s="1190"/>
      <c r="H104" s="1190"/>
      <c r="I104" s="1190"/>
      <c r="J104" s="529"/>
    </row>
    <row r="105" spans="1:14" ht="37.5" customHeight="1">
      <c r="A105" s="4636" t="s">
        <v>2628</v>
      </c>
      <c r="B105" s="4636"/>
      <c r="C105" s="4636"/>
      <c r="D105" s="4636"/>
      <c r="E105" s="4636"/>
      <c r="F105" s="4636"/>
      <c r="G105" s="4636"/>
      <c r="H105" s="4636"/>
      <c r="I105" s="4636"/>
      <c r="J105" s="4636"/>
    </row>
    <row r="106" spans="1:14" ht="6" customHeight="1">
      <c r="A106" s="519"/>
    </row>
    <row r="107" spans="1:14" ht="15">
      <c r="A107" s="519" t="s">
        <v>2629</v>
      </c>
    </row>
    <row r="108" spans="1:14" ht="43.5" customHeight="1">
      <c r="A108" s="4636" t="s">
        <v>2630</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46" t="s">
        <v>3965</v>
      </c>
      <c r="B120" s="4646"/>
      <c r="C120" s="4646"/>
      <c r="D120" s="4646"/>
      <c r="E120" s="4647"/>
      <c r="F120" s="1403" t="s">
        <v>3966</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Pinecrest Village</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2639</v>
      </c>
      <c r="B8" s="565"/>
      <c r="C8" s="4661" t="str">
        <f>'Part I-Project Identification'!$F$26</f>
        <v>Pinecrest Village</v>
      </c>
      <c r="D8" s="4661"/>
      <c r="E8" s="1887" t="str">
        <f>'Part I-Project Identification'!$O$7</f>
        <v>2024-0</v>
      </c>
      <c r="F8" s="565" t="s">
        <v>2640</v>
      </c>
      <c r="G8" s="556"/>
      <c r="H8" s="4661" t="str">
        <f>CONCATENATE('Part I-Project Identification'!$F$27,", ",'Part I-Project Identification'!$J$27)</f>
        <v>Douglas, Coffee</v>
      </c>
      <c r="I8" s="4661"/>
      <c r="J8" s="4661"/>
      <c r="K8" s="4661"/>
      <c r="L8" s="556"/>
      <c r="M8" s="538"/>
    </row>
    <row r="9" spans="1:14" ht="15.75">
      <c r="A9" s="565" t="s">
        <v>2642</v>
      </c>
      <c r="B9" s="565"/>
      <c r="C9" s="4661" t="s">
        <v>1641</v>
      </c>
      <c r="D9" s="4661"/>
      <c r="E9" s="556"/>
      <c r="F9" s="565" t="s">
        <v>2643</v>
      </c>
      <c r="G9" s="556"/>
      <c r="H9" s="4670"/>
      <c r="I9" s="4670"/>
      <c r="J9" s="4670"/>
      <c r="K9" s="4670"/>
      <c r="L9" s="4670"/>
      <c r="M9" s="538"/>
    </row>
    <row r="10" spans="1:14" ht="15.75">
      <c r="A10" s="565" t="s">
        <v>2645</v>
      </c>
      <c r="B10" s="556"/>
      <c r="C10" s="4671"/>
      <c r="D10" s="4671"/>
      <c r="E10" s="556"/>
      <c r="F10" s="565" t="s">
        <v>3046</v>
      </c>
      <c r="G10" s="556"/>
      <c r="H10" s="4666"/>
      <c r="I10" s="4666"/>
      <c r="J10" s="4666"/>
      <c r="K10" s="4666"/>
      <c r="L10" s="4666"/>
    </row>
    <row r="11" spans="1:14" ht="15.75">
      <c r="A11" s="565" t="s">
        <v>2646</v>
      </c>
      <c r="B11" s="556"/>
      <c r="C11" s="4665"/>
      <c r="D11" s="4665"/>
      <c r="E11" s="1901"/>
      <c r="F11" s="565" t="s">
        <v>605</v>
      </c>
      <c r="G11" s="556"/>
      <c r="H11" s="4666"/>
      <c r="I11" s="4666"/>
      <c r="J11" s="4666"/>
      <c r="K11" s="4666"/>
      <c r="L11" s="4666"/>
      <c r="M11" s="4667"/>
      <c r="N11" s="4668"/>
    </row>
    <row r="12" spans="1:14" ht="15.75">
      <c r="A12" s="565" t="s">
        <v>2647</v>
      </c>
      <c r="B12" s="556"/>
      <c r="C12" s="4665"/>
      <c r="D12" s="4665"/>
      <c r="E12" s="556"/>
      <c r="F12" s="565" t="s">
        <v>2648</v>
      </c>
      <c r="G12" s="556"/>
      <c r="H12" s="4665"/>
      <c r="I12" s="4665"/>
      <c r="J12" s="4665"/>
      <c r="K12" s="4665"/>
      <c r="L12" s="4665"/>
      <c r="M12" s="504"/>
    </row>
    <row r="13" spans="1:14" ht="15.75">
      <c r="A13" s="565" t="s">
        <v>2649</v>
      </c>
      <c r="B13" s="565"/>
      <c r="C13" s="1888">
        <f>'Part V-Revenues &amp; Expenses'!$P$67</f>
        <v>48</v>
      </c>
      <c r="D13" s="26"/>
      <c r="E13" s="1889">
        <f>'Part V-Revenues &amp; Expenses'!$P$63</f>
        <v>48</v>
      </c>
      <c r="F13" s="565" t="s">
        <v>3361</v>
      </c>
      <c r="G13" s="556"/>
      <c r="H13" s="1899"/>
      <c r="I13" s="1891"/>
      <c r="J13" s="1891"/>
      <c r="K13" s="1890">
        <f>'Part V-Revenues &amp; Expenses'!$K$179</f>
        <v>48897</v>
      </c>
      <c r="L13" s="556"/>
      <c r="M13" s="504"/>
    </row>
    <row r="14" spans="1:14" ht="15.75">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9" t="s">
        <v>3014</v>
      </c>
      <c r="I14" s="4669"/>
      <c r="J14" s="4669"/>
      <c r="K14" s="4669" t="s">
        <v>3014</v>
      </c>
      <c r="L14" s="4669"/>
      <c r="M14" s="504"/>
    </row>
    <row r="15" spans="1:14" ht="15.75">
      <c r="A15" s="565" t="s">
        <v>2651</v>
      </c>
      <c r="B15" s="556"/>
      <c r="C15" s="1892" t="s">
        <v>1641</v>
      </c>
      <c r="D15" s="556"/>
      <c r="E15" s="556"/>
      <c r="F15" s="565" t="s">
        <v>2884</v>
      </c>
      <c r="G15" s="556"/>
      <c r="H15" s="1887" t="str">
        <f>'Part I-Project Identification'!K29</f>
        <v>Rural</v>
      </c>
      <c r="I15" s="556"/>
      <c r="J15" s="556"/>
      <c r="K15" s="556"/>
      <c r="L15" s="556"/>
      <c r="M15" s="504"/>
    </row>
    <row r="16" spans="1:14" ht="15.75">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15242164</v>
      </c>
      <c r="D18" s="1895">
        <f>IF(C18=0,"",$C$29/C18)</f>
        <v>3.229777609006175E-2</v>
      </c>
      <c r="E18" s="556" t="s">
        <v>2887</v>
      </c>
      <c r="F18" s="565" t="s">
        <v>4639</v>
      </c>
      <c r="G18" s="556"/>
      <c r="H18" s="4660">
        <f>'Part III-A-Uses of Funds'!$C$49</f>
        <v>10683738</v>
      </c>
      <c r="I18" s="4660"/>
      <c r="J18" s="1896">
        <f>IF(H18=0,"",$C$29/H18)</f>
        <v>4.6078254633350239E-2</v>
      </c>
      <c r="K18" s="4661" t="s">
        <v>2888</v>
      </c>
      <c r="L18" s="4661"/>
      <c r="M18" s="504"/>
    </row>
    <row r="19" spans="1:13" ht="15.75">
      <c r="A19" s="565" t="s">
        <v>2652</v>
      </c>
      <c r="B19" s="556"/>
      <c r="C19" s="1897">
        <f>C18/C13</f>
        <v>317545.08333333331</v>
      </c>
      <c r="D19" s="556"/>
      <c r="E19" s="556"/>
      <c r="F19" s="565" t="s">
        <v>2652</v>
      </c>
      <c r="G19" s="556"/>
      <c r="H19" s="4662">
        <f>H18/C13</f>
        <v>222577.875</v>
      </c>
      <c r="I19" s="4662"/>
      <c r="J19" s="556"/>
      <c r="K19" s="556"/>
      <c r="L19" s="556"/>
      <c r="M19" s="504"/>
    </row>
    <row r="20" spans="1:13" ht="15.75">
      <c r="A20" s="565" t="s">
        <v>2653</v>
      </c>
      <c r="B20" s="556"/>
      <c r="C20" s="1887">
        <f>C18/K13</f>
        <v>311.71981921181259</v>
      </c>
      <c r="D20" s="1898"/>
      <c r="E20" s="1898"/>
      <c r="F20" s="565" t="s">
        <v>2653</v>
      </c>
      <c r="G20" s="556"/>
      <c r="H20" s="4661">
        <f>H18/K13</f>
        <v>218.49475427940365</v>
      </c>
      <c r="I20" s="4662"/>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Atlanta Neighborhood Development Partnership, Inc.</v>
      </c>
      <c r="C25" s="543">
        <f>'Part II-Sources of Funds'!I40</f>
        <v>492288</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492288</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14736476</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492288</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3.229777609006175E-2</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4.6078254633350239E-2</v>
      </c>
      <c r="D40" s="504"/>
      <c r="E40" s="504"/>
      <c r="F40" s="507"/>
      <c r="G40" s="507" t="s">
        <v>2673</v>
      </c>
      <c r="H40" s="504"/>
      <c r="I40" s="504"/>
      <c r="K40" s="545">
        <f>C30/C18</f>
        <v>0.96682308365137659</v>
      </c>
      <c r="L40" s="504"/>
      <c r="M40" s="504"/>
    </row>
    <row r="46" spans="1:13" ht="15.75">
      <c r="A46" s="540" t="s">
        <v>2674</v>
      </c>
      <c r="B46" s="534"/>
      <c r="C46" s="534"/>
      <c r="D46" s="534"/>
      <c r="E46" s="534"/>
      <c r="F46" s="534"/>
      <c r="G46" s="534"/>
      <c r="H46" s="534"/>
      <c r="I46" s="534"/>
      <c r="J46" s="534"/>
      <c r="K46" s="534"/>
      <c r="L46" s="534"/>
      <c r="M46" s="504"/>
    </row>
    <row r="47" spans="1:13" ht="15.75">
      <c r="A47" s="540" t="str">
        <f>C8</f>
        <v>Pinecrest Village</v>
      </c>
      <c r="B47" s="534"/>
      <c r="C47" s="534"/>
      <c r="D47" s="534"/>
      <c r="E47" s="534"/>
      <c r="F47" s="534"/>
      <c r="G47" s="534"/>
      <c r="H47" s="534"/>
      <c r="I47" s="534"/>
      <c r="J47" s="534"/>
      <c r="K47" s="534"/>
      <c r="L47" s="534"/>
      <c r="M47" s="504"/>
    </row>
    <row r="50" spans="1:14" s="504" customFormat="1" ht="15.75">
      <c r="A50" s="507" t="s">
        <v>2675</v>
      </c>
      <c r="C50" s="550" t="s">
        <v>2676</v>
      </c>
      <c r="E50" s="553" t="s">
        <v>3015</v>
      </c>
      <c r="F50" s="554">
        <v>0.1</v>
      </c>
      <c r="G50" s="553" t="s">
        <v>3016</v>
      </c>
      <c r="H50" s="554">
        <v>0.05</v>
      </c>
      <c r="I50" s="553" t="s">
        <v>3017</v>
      </c>
      <c r="J50" s="554">
        <v>0.03</v>
      </c>
      <c r="K50" s="4663" t="s">
        <v>2677</v>
      </c>
      <c r="L50" s="4664"/>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406800</v>
      </c>
      <c r="D52" s="557"/>
      <c r="E52" s="557">
        <f>$C$52</f>
        <v>406800</v>
      </c>
      <c r="F52" s="557"/>
      <c r="G52" s="557">
        <f>$C$52</f>
        <v>406800</v>
      </c>
      <c r="H52" s="557"/>
      <c r="I52" s="557">
        <f>$C$52</f>
        <v>406800</v>
      </c>
      <c r="J52" s="557"/>
      <c r="K52" s="557">
        <f>$C$52</f>
        <v>406800</v>
      </c>
      <c r="L52" s="558"/>
      <c r="M52"/>
      <c r="N52"/>
    </row>
    <row r="53" spans="1:14" s="504" customFormat="1" ht="18.75" customHeight="1">
      <c r="B53" s="556" t="s">
        <v>2681</v>
      </c>
      <c r="C53" s="557">
        <f>'Part VI-Pro Forma'!B16</f>
        <v>8136</v>
      </c>
      <c r="D53" s="557"/>
      <c r="E53" s="557">
        <f>$C$53</f>
        <v>8136</v>
      </c>
      <c r="F53" s="557"/>
      <c r="G53" s="557">
        <f>$C$53</f>
        <v>8136</v>
      </c>
      <c r="H53" s="557"/>
      <c r="I53" s="557">
        <f>$C$53</f>
        <v>8136</v>
      </c>
      <c r="J53" s="557"/>
      <c r="K53" s="557">
        <f>$C$53</f>
        <v>8136</v>
      </c>
      <c r="L53" s="558"/>
      <c r="M53"/>
      <c r="N53"/>
    </row>
    <row r="54" spans="1:14" s="504" customFormat="1" ht="18.75" customHeight="1">
      <c r="B54" s="556" t="s">
        <v>2679</v>
      </c>
      <c r="C54" s="557">
        <f>'Part VI-Pro Forma'!B17</f>
        <v>-29045.520000000004</v>
      </c>
      <c r="D54" s="557"/>
      <c r="E54" s="557">
        <f>-($C$52+E53)*F50</f>
        <v>-41493.600000000006</v>
      </c>
      <c r="F54" s="559"/>
      <c r="G54" s="557">
        <f>-($C$52+G53)*0.07</f>
        <v>-29045.520000000004</v>
      </c>
      <c r="H54" s="557"/>
      <c r="I54" s="557">
        <f>-($C$52+I53)*0.07</f>
        <v>-29045.520000000004</v>
      </c>
      <c r="J54" s="557"/>
      <c r="K54" s="557">
        <f>-($C$52+K53)*L54</f>
        <v>-41493.600000000006</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385890.48</v>
      </c>
      <c r="D56" s="557"/>
      <c r="E56" s="563">
        <f>SUM(E52:E55)</f>
        <v>373442.4</v>
      </c>
      <c r="F56" s="557"/>
      <c r="G56" s="563">
        <f>SUM(G52:G55)</f>
        <v>385890.48</v>
      </c>
      <c r="H56" s="557"/>
      <c r="I56" s="563">
        <f>SUM(I52:I55)</f>
        <v>385890.48</v>
      </c>
      <c r="J56" s="557"/>
      <c r="K56" s="563">
        <f>SUM(K52:K55)</f>
        <v>373442.4</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8500</v>
      </c>
      <c r="D58" s="557"/>
      <c r="E58" s="557">
        <f>$C$58</f>
        <v>8500</v>
      </c>
      <c r="F58" s="557"/>
      <c r="G58" s="557">
        <f>$C$58</f>
        <v>8500</v>
      </c>
      <c r="H58" s="557"/>
      <c r="I58" s="557">
        <f>$C$58</f>
        <v>8500</v>
      </c>
      <c r="J58" s="557"/>
      <c r="K58" s="557">
        <f>$C$58</f>
        <v>8500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3400</v>
      </c>
      <c r="D60" s="557"/>
      <c r="E60" s="557">
        <f>$C$60</f>
        <v>3400</v>
      </c>
      <c r="F60" s="557"/>
      <c r="G60" s="557">
        <f>$C$60</f>
        <v>3400</v>
      </c>
      <c r="H60" s="557"/>
      <c r="I60" s="557">
        <f>$C$60*(1+$J$50)</f>
        <v>3502</v>
      </c>
      <c r="J60" s="559"/>
      <c r="K60" s="557">
        <f>$C$60*(1+$J$50)</f>
        <v>3502</v>
      </c>
      <c r="L60" s="560">
        <v>0.03</v>
      </c>
      <c r="M60"/>
      <c r="N60"/>
    </row>
    <row r="61" spans="1:14" s="504" customFormat="1" ht="18.75" customHeight="1">
      <c r="B61" s="556" t="s">
        <v>1296</v>
      </c>
      <c r="C61" s="557">
        <f>+'Part V-Revenues &amp; Expenses'!L248</f>
        <v>40747.49</v>
      </c>
      <c r="D61" s="557"/>
      <c r="E61" s="557">
        <f>$C$61</f>
        <v>40747.49</v>
      </c>
      <c r="F61" s="557"/>
      <c r="G61" s="557">
        <f>$C$61*(1+H50)</f>
        <v>42784.864499999996</v>
      </c>
      <c r="H61" s="559"/>
      <c r="I61" s="557">
        <f>$C$61</f>
        <v>40747.49</v>
      </c>
      <c r="J61" s="557"/>
      <c r="K61" s="557">
        <f>$C$61*(1+$L$61)</f>
        <v>42784.864499999996</v>
      </c>
      <c r="L61" s="560">
        <v>0.05</v>
      </c>
      <c r="M61"/>
      <c r="N61"/>
    </row>
    <row r="62" spans="1:14" s="504" customFormat="1" ht="18.75" customHeight="1">
      <c r="B62" s="562" t="s">
        <v>2685</v>
      </c>
      <c r="C62" s="563">
        <f>SUM(C58:C61)</f>
        <v>52647.49</v>
      </c>
      <c r="D62" s="557"/>
      <c r="E62" s="563">
        <f>SUM(E58:E61)</f>
        <v>52647.49</v>
      </c>
      <c r="F62" s="557"/>
      <c r="G62" s="563">
        <f>SUM(G58:G61)</f>
        <v>54684.864499999996</v>
      </c>
      <c r="H62" s="557"/>
      <c r="I62" s="563">
        <f>SUM(I58:I61)</f>
        <v>52749.49</v>
      </c>
      <c r="J62" s="557"/>
      <c r="K62" s="563">
        <f>SUM(K58:K61)</f>
        <v>54786.864499999996</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333242.99</v>
      </c>
      <c r="D64" s="566"/>
      <c r="E64" s="566">
        <f>E56-E62</f>
        <v>320794.91000000003</v>
      </c>
      <c r="F64" s="566"/>
      <c r="G64" s="566">
        <f>G56-G62</f>
        <v>331205.61549999996</v>
      </c>
      <c r="H64" s="566"/>
      <c r="I64" s="566">
        <f>I56-I62</f>
        <v>333140.99</v>
      </c>
      <c r="J64" s="566"/>
      <c r="K64" s="566">
        <f>K56-K62</f>
        <v>318655.5355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333242.99</v>
      </c>
      <c r="D70" s="566"/>
      <c r="E70" s="569">
        <f>E64-E66-E68</f>
        <v>320794.91000000003</v>
      </c>
      <c r="F70" s="566"/>
      <c r="G70" s="569">
        <f>G64-G66-G68</f>
        <v>331205.61549999996</v>
      </c>
      <c r="H70" s="566"/>
      <c r="I70" s="569">
        <f>I64-I66-I68</f>
        <v>333140.99</v>
      </c>
      <c r="J70" s="566"/>
      <c r="K70" s="569">
        <f>K64-K66-K68</f>
        <v>318655.5355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11.185663812803798</v>
      </c>
      <c r="D72" s="570"/>
      <c r="E72" s="986">
        <f>-E70/E75</f>
        <v>10.767830453443752</v>
      </c>
      <c r="F72" s="570"/>
      <c r="G72" s="986">
        <f>-G70/G75</f>
        <v>11.117277119304919</v>
      </c>
      <c r="H72" s="570"/>
      <c r="I72" s="986">
        <f>-I70/I75</f>
        <v>11.182240071740539</v>
      </c>
      <c r="J72" s="570"/>
      <c r="K72" s="986">
        <f>-K70/K75</f>
        <v>10.696020018881615</v>
      </c>
      <c r="L72" s="4"/>
      <c r="M72" s="10"/>
      <c r="N72" s="10"/>
    </row>
    <row r="73" spans="1:14" s="504" customFormat="1" ht="18.75" customHeight="1">
      <c r="A73"/>
      <c r="B73" s="556" t="s">
        <v>2691</v>
      </c>
      <c r="C73" s="987">
        <f>C76/C62</f>
        <v>5.7638268678004074</v>
      </c>
      <c r="D73" s="571"/>
      <c r="E73" s="987">
        <f>E76/E62</f>
        <v>5.5273848265938854</v>
      </c>
      <c r="F73" s="571"/>
      <c r="G73" s="987">
        <f>G76/G62</f>
        <v>5.5118293816793358</v>
      </c>
      <c r="H73" s="571"/>
      <c r="I73" s="987">
        <f>I76/I62</f>
        <v>5.7507478723349417</v>
      </c>
      <c r="J73" s="571"/>
      <c r="K73" s="987">
        <f>K76/K62</f>
        <v>5.2724967110365171</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-29791.972615746738</v>
      </c>
      <c r="D75" s="557"/>
      <c r="E75" s="557">
        <f>$C$75</f>
        <v>-29791.972615746738</v>
      </c>
      <c r="F75" s="557"/>
      <c r="G75" s="557">
        <f>$C$75</f>
        <v>-29791.972615746738</v>
      </c>
      <c r="H75" s="557"/>
      <c r="I75" s="557">
        <f>$C$75</f>
        <v>-29791.972615746738</v>
      </c>
      <c r="J75" s="557"/>
      <c r="K75" s="557">
        <f>$C$75</f>
        <v>-29791.972615746738</v>
      </c>
      <c r="L75" s="26"/>
      <c r="M75"/>
      <c r="N75"/>
    </row>
    <row r="76" spans="1:14" s="504" customFormat="1" ht="18.75" customHeight="1">
      <c r="A76"/>
      <c r="B76" s="556" t="s">
        <v>1095</v>
      </c>
      <c r="C76" s="557">
        <f>C70+C75</f>
        <v>303451.01738425327</v>
      </c>
      <c r="D76" s="557"/>
      <c r="E76" s="557">
        <f>E70+E75</f>
        <v>291002.93738425331</v>
      </c>
      <c r="F76" s="557"/>
      <c r="G76" s="557">
        <f>G70+G75</f>
        <v>301413.64288425323</v>
      </c>
      <c r="H76" s="557"/>
      <c r="I76" s="557">
        <f>I70+I75</f>
        <v>303349.01738425327</v>
      </c>
      <c r="J76" s="557"/>
      <c r="K76" s="557">
        <f>K70+K75</f>
        <v>288863.56288425328</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3326</v>
      </c>
    </row>
    <row r="3" spans="1:7" ht="3" customHeight="1"/>
    <row r="4" spans="1:7">
      <c r="A4" s="940" t="s">
        <v>3327</v>
      </c>
      <c r="B4" s="941">
        <f>'Part III-A-Uses of Funds'!G146</f>
        <v>15242164</v>
      </c>
    </row>
    <row r="5" spans="1:7">
      <c r="A5" s="940" t="s">
        <v>3358</v>
      </c>
      <c r="B5" s="941">
        <f>+B18+B26+B38</f>
        <v>574353.91283939837</v>
      </c>
    </row>
    <row r="6" spans="1:7">
      <c r="A6" s="940" t="s">
        <v>3328</v>
      </c>
      <c r="B6" s="942">
        <f>+B5-B4</f>
        <v>-14667810.087160602</v>
      </c>
    </row>
    <row r="7" spans="1:7">
      <c r="A7" s="940" t="s">
        <v>3329</v>
      </c>
      <c r="B7" s="943">
        <f>+B6/B4</f>
        <v>-0.96231808601197322</v>
      </c>
    </row>
    <row r="8" spans="1:7" ht="9" customHeight="1"/>
    <row r="9" spans="1:7">
      <c r="A9" s="940" t="s">
        <v>3330</v>
      </c>
      <c r="B9" s="941">
        <f>+B18+B26+B33</f>
        <v>574353.91283939837</v>
      </c>
    </row>
    <row r="10" spans="1:7">
      <c r="A10" s="940" t="s">
        <v>3328</v>
      </c>
      <c r="B10" s="942">
        <f>+B9-B4</f>
        <v>-14667810.087160602</v>
      </c>
    </row>
    <row r="11" spans="1:7">
      <c r="A11" s="940" t="s">
        <v>3329</v>
      </c>
      <c r="B11" s="943">
        <f>+B10/B4</f>
        <v>-0.96231808601197322</v>
      </c>
    </row>
    <row r="12" spans="1:7" ht="24" customHeight="1"/>
    <row r="13" spans="1:7">
      <c r="A13" s="939" t="s">
        <v>3331</v>
      </c>
      <c r="D13" s="992" t="s">
        <v>3543</v>
      </c>
      <c r="E13" s="993"/>
    </row>
    <row r="14" spans="1:7">
      <c r="A14" s="940" t="s">
        <v>3332</v>
      </c>
      <c r="B14" s="944">
        <f>+SUM('Part II-Sources of Funds'!L51:M52)</f>
        <v>14737950</v>
      </c>
      <c r="D14" s="993"/>
      <c r="E14" s="993"/>
    </row>
    <row r="15" spans="1:7">
      <c r="A15" s="940" t="s">
        <v>3333</v>
      </c>
      <c r="B15" s="945">
        <f>+'Part III-A-Uses of Funds'!J180</f>
        <v>1474987.6</v>
      </c>
      <c r="D15" s="993" t="s">
        <v>1890</v>
      </c>
      <c r="G15" s="994">
        <f>'Part III-A-Uses of Funds'!J168</f>
        <v>13830664</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6577863.7984000007</v>
      </c>
    </row>
    <row r="20" spans="1:7">
      <c r="A20" s="940" t="s">
        <v>3336</v>
      </c>
      <c r="B20" s="944">
        <f>+B18-B14</f>
        <v>-14737950</v>
      </c>
      <c r="D20" s="993" t="s">
        <v>3548</v>
      </c>
      <c r="G20" s="996">
        <f>+B14-G19</f>
        <v>8160086.2015999993</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492288</v>
      </c>
    </row>
    <row r="25" spans="1:7">
      <c r="A25" s="940" t="s">
        <v>3340</v>
      </c>
      <c r="B25" s="948">
        <f>IF('Part II-Sources of Funds'!E6="Yes","N/A",MAX(B46:P46))</f>
        <v>-23541.341017928229</v>
      </c>
    </row>
    <row r="26" spans="1:7">
      <c r="A26" s="940" t="s">
        <v>3341</v>
      </c>
      <c r="B26" s="938">
        <f>IFERROR(PV('Part II-Sources of Funds'!K40,'Part II-Sources of Funds'!L40,B25+B45),B24)</f>
        <v>574353.91283939837</v>
      </c>
    </row>
    <row r="27" spans="1:7" ht="9" customHeight="1">
      <c r="B27" s="938"/>
    </row>
    <row r="28" spans="1:7">
      <c r="A28" s="940" t="s">
        <v>3342</v>
      </c>
      <c r="B28" s="949">
        <f>+B26-B24</f>
        <v>82065.91283939837</v>
      </c>
      <c r="C28" s="950"/>
    </row>
    <row r="29" spans="1:7">
      <c r="A29" s="940" t="s">
        <v>3337</v>
      </c>
      <c r="B29" s="951">
        <f>+B28/B24</f>
        <v>0.16670305357717102</v>
      </c>
    </row>
    <row r="30" spans="1:7" ht="24" customHeight="1"/>
    <row r="31" spans="1:7">
      <c r="A31" s="939" t="s">
        <v>3272</v>
      </c>
    </row>
    <row r="32" spans="1:7">
      <c r="A32" s="940" t="s">
        <v>3343</v>
      </c>
      <c r="B32" s="952">
        <f>+'Part II-Sources of Funds'!I45</f>
        <v>13400</v>
      </c>
    </row>
    <row r="33" spans="1:11">
      <c r="A33" s="940" t="s">
        <v>3344</v>
      </c>
      <c r="B33" s="938"/>
    </row>
    <row r="34" spans="1:11" ht="9" customHeight="1">
      <c r="B34" s="938"/>
    </row>
    <row r="35" spans="1:11">
      <c r="A35" s="940" t="s">
        <v>3345</v>
      </c>
      <c r="B35" s="952">
        <f>+B33-B32</f>
        <v>-13400</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79218.479999999981</v>
      </c>
      <c r="C44" s="941">
        <f>+'Part VI-Pro Forma'!C25</f>
        <v>78005.489599999972</v>
      </c>
      <c r="D44" s="941">
        <f>+'Part VI-Pro Forma'!D25</f>
        <v>76685.161392000009</v>
      </c>
      <c r="E44" s="941">
        <f>+'Part VI-Pro Forma'!E25</f>
        <v>75252.031679839958</v>
      </c>
      <c r="F44" s="941">
        <f>+'Part VI-Pro Forma'!F25</f>
        <v>73701.471985236858</v>
      </c>
      <c r="G44" s="941">
        <f>+'Part VI-Pro Forma'!G25</f>
        <v>72027.683486895607</v>
      </c>
      <c r="H44" s="941">
        <f>+'Part VI-Pro Forma'!H25</f>
        <v>70226.691280446074</v>
      </c>
      <c r="I44" s="941">
        <f>+'Part VI-Pro Forma'!I25</f>
        <v>68291.338453581935</v>
      </c>
      <c r="J44" s="941">
        <f>+'Part VI-Pro Forma'!J25</f>
        <v>66218.279970606469</v>
      </c>
      <c r="K44" s="941">
        <f>+'Part VI-Pro Forma'!K25</f>
        <v>63999.976360409957</v>
      </c>
    </row>
    <row r="45" spans="1:11">
      <c r="A45" s="940" t="s">
        <v>3349</v>
      </c>
      <c r="B45" s="941">
        <f>SUM('Part VI-Pro Forma'!B26:B29)</f>
        <v>-29791.972615746738</v>
      </c>
      <c r="C45" s="941">
        <f>SUM('Part VI-Pro Forma'!C26:C29)</f>
        <v>-29791.972615746738</v>
      </c>
      <c r="D45" s="941">
        <f>SUM('Part VI-Pro Forma'!D26:D29)</f>
        <v>-29791.972615746738</v>
      </c>
      <c r="E45" s="941">
        <f>SUM('Part VI-Pro Forma'!E26:E29)</f>
        <v>-29791.972615746738</v>
      </c>
      <c r="F45" s="941">
        <f>SUM('Part VI-Pro Forma'!F26:F29)</f>
        <v>-29791.972615746738</v>
      </c>
      <c r="G45" s="941">
        <f>SUM('Part VI-Pro Forma'!G26:G29)</f>
        <v>-29791.972615746738</v>
      </c>
      <c r="H45" s="941">
        <f>SUM('Part VI-Pro Forma'!H26:H29)</f>
        <v>-29791.972615746738</v>
      </c>
      <c r="I45" s="941">
        <f>SUM('Part VI-Pro Forma'!I26:I29)</f>
        <v>-29791.972615746738</v>
      </c>
      <c r="J45" s="941">
        <f>SUM('Part VI-Pro Forma'!J26:J29)</f>
        <v>-29791.972615746738</v>
      </c>
      <c r="K45" s="941">
        <f>SUM('Part VI-Pro Forma'!K26:K29)</f>
        <v>-29791.972615746738</v>
      </c>
    </row>
    <row r="46" spans="1:11">
      <c r="A46" s="940" t="s">
        <v>3350</v>
      </c>
      <c r="B46" s="942">
        <f t="shared" ref="B46:K46" si="0">-B44/B48-B45</f>
        <v>-36223.427384253257</v>
      </c>
      <c r="C46" s="942">
        <f t="shared" si="0"/>
        <v>-35212.602050919908</v>
      </c>
      <c r="D46" s="942">
        <f t="shared" si="0"/>
        <v>-34112.328544253272</v>
      </c>
      <c r="E46" s="942">
        <f t="shared" si="0"/>
        <v>-32918.053784119897</v>
      </c>
      <c r="F46" s="942">
        <f t="shared" si="0"/>
        <v>-31625.920705283977</v>
      </c>
      <c r="G46" s="942">
        <f t="shared" si="0"/>
        <v>-30231.096956666268</v>
      </c>
      <c r="H46" s="942">
        <f t="shared" si="0"/>
        <v>-28730.270117958324</v>
      </c>
      <c r="I46" s="942">
        <f t="shared" si="0"/>
        <v>-27117.476095571546</v>
      </c>
      <c r="J46" s="942">
        <f t="shared" si="0"/>
        <v>-25389.927359758658</v>
      </c>
      <c r="K46" s="942">
        <f t="shared" si="0"/>
        <v>-23541.341017928229</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79218.479999999981</v>
      </c>
      <c r="C51" s="942">
        <f t="shared" ref="C51:K51" si="2">+C44</f>
        <v>78005.489599999972</v>
      </c>
      <c r="D51" s="942">
        <f t="shared" si="2"/>
        <v>76685.161392000009</v>
      </c>
      <c r="E51" s="942">
        <f t="shared" si="2"/>
        <v>75252.031679839958</v>
      </c>
      <c r="F51" s="942">
        <f t="shared" si="2"/>
        <v>73701.471985236858</v>
      </c>
      <c r="G51" s="942">
        <f t="shared" si="2"/>
        <v>72027.683486895607</v>
      </c>
      <c r="H51" s="942">
        <f t="shared" si="2"/>
        <v>70226.691280446074</v>
      </c>
      <c r="I51" s="942">
        <f t="shared" si="2"/>
        <v>68291.338453581935</v>
      </c>
      <c r="J51" s="942">
        <f t="shared" si="2"/>
        <v>66218.279970606469</v>
      </c>
      <c r="K51" s="942">
        <f t="shared" si="2"/>
        <v>63999.976360409957</v>
      </c>
    </row>
    <row r="52" spans="1:17">
      <c r="A52" s="940" t="s">
        <v>3352</v>
      </c>
      <c r="B52" s="942">
        <f>IF($B$25="N/A",B45,B45+$B$25)</f>
        <v>-53333.313633674967</v>
      </c>
      <c r="C52" s="942">
        <f t="shared" ref="C52:K52" si="3">IF($B$25="N/A",C45,C45+$B$25)</f>
        <v>-53333.313633674967</v>
      </c>
      <c r="D52" s="942">
        <f t="shared" si="3"/>
        <v>-53333.313633674967</v>
      </c>
      <c r="E52" s="942">
        <f t="shared" si="3"/>
        <v>-53333.313633674967</v>
      </c>
      <c r="F52" s="942">
        <f t="shared" si="3"/>
        <v>-53333.313633674967</v>
      </c>
      <c r="G52" s="942">
        <f t="shared" si="3"/>
        <v>-53333.313633674967</v>
      </c>
      <c r="H52" s="942">
        <f t="shared" si="3"/>
        <v>-53333.313633674967</v>
      </c>
      <c r="I52" s="942">
        <f t="shared" si="3"/>
        <v>-53333.313633674967</v>
      </c>
      <c r="J52" s="942">
        <f t="shared" si="3"/>
        <v>-53333.313633674967</v>
      </c>
      <c r="K52" s="942">
        <f t="shared" si="3"/>
        <v>-53333.313633674967</v>
      </c>
    </row>
    <row r="53" spans="1:17">
      <c r="A53" s="940" t="s">
        <v>3353</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3354</v>
      </c>
      <c r="B54" s="942">
        <f>+SUM(B51:B53)</f>
        <v>20885.166366325015</v>
      </c>
      <c r="C54" s="942">
        <f t="shared" ref="C54:K54" si="4">+SUM(C51:C53)</f>
        <v>19672.175966325005</v>
      </c>
      <c r="D54" s="942">
        <f t="shared" si="4"/>
        <v>18351.847758325042</v>
      </c>
      <c r="E54" s="942">
        <f t="shared" si="4"/>
        <v>16918.718046164991</v>
      </c>
      <c r="F54" s="942">
        <f t="shared" si="4"/>
        <v>15368.158351561891</v>
      </c>
      <c r="G54" s="942">
        <f t="shared" si="4"/>
        <v>13694.36985322064</v>
      </c>
      <c r="H54" s="942">
        <f t="shared" si="4"/>
        <v>11893.377646771107</v>
      </c>
      <c r="I54" s="942">
        <f t="shared" si="4"/>
        <v>9958.0248199069683</v>
      </c>
      <c r="J54" s="942">
        <f t="shared" si="4"/>
        <v>7884.9663369315022</v>
      </c>
      <c r="K54" s="942">
        <f t="shared" si="4"/>
        <v>5666.6627267349904</v>
      </c>
    </row>
    <row r="55" spans="1:17">
      <c r="A55" s="940" t="s">
        <v>3272</v>
      </c>
      <c r="B55" s="942">
        <f>-B54</f>
        <v>-20885.166366325015</v>
      </c>
      <c r="C55" s="942">
        <f t="shared" ref="C55:K55" si="5">-C54</f>
        <v>-19672.175966325005</v>
      </c>
      <c r="D55" s="942">
        <f t="shared" si="5"/>
        <v>-18351.847758325042</v>
      </c>
      <c r="E55" s="942">
        <f t="shared" si="5"/>
        <v>-16918.718046164991</v>
      </c>
      <c r="F55" s="942">
        <f t="shared" si="5"/>
        <v>-15368.158351561891</v>
      </c>
      <c r="G55" s="942">
        <f t="shared" si="5"/>
        <v>-13694.36985322064</v>
      </c>
      <c r="H55" s="942">
        <f t="shared" si="5"/>
        <v>-11893.377646771107</v>
      </c>
      <c r="I55" s="942">
        <f t="shared" si="5"/>
        <v>-9958.0248199069683</v>
      </c>
      <c r="J55" s="942">
        <f t="shared" si="5"/>
        <v>-7884.9663369315022</v>
      </c>
      <c r="K55" s="942">
        <f t="shared" si="5"/>
        <v>-5666.6627267349904</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546063.1210038946</v>
      </c>
      <c r="C58" s="941">
        <f>IF($B$26="","",-FV('Part II-Sources of Funds'!$K$40/12,12,C52/12,C26))</f>
        <v>-54437.155714034307</v>
      </c>
      <c r="D58" s="941">
        <f>IF($B$26="","",-FV('Part II-Sources of Funds'!$K$40/12,12,D52/12,D26))</f>
        <v>-54437.155714034307</v>
      </c>
      <c r="E58" s="941">
        <f>IF($B$26="","",-FV('Part II-Sources of Funds'!$K$40/12,12,E52/12,E26))</f>
        <v>-54437.155714034307</v>
      </c>
      <c r="F58" s="941">
        <f>IF($B$26="","",-FV('Part II-Sources of Funds'!$K$40/12,12,F52/12,F26))</f>
        <v>-54437.155714034307</v>
      </c>
      <c r="G58" s="941">
        <f>IF($B$26="","",-FV('Part II-Sources of Funds'!$K$40/12,12,G52/12,G26))</f>
        <v>-54437.155714034307</v>
      </c>
      <c r="H58" s="941">
        <f>IF($B$26="","",-FV('Part II-Sources of Funds'!$K$40/12,12,H52/12,H26))</f>
        <v>-54437.155714034307</v>
      </c>
      <c r="I58" s="941">
        <f>IF($B$26="","",-FV('Part II-Sources of Funds'!$K$40/12,12,I52/12,I26))</f>
        <v>-54437.155714034307</v>
      </c>
      <c r="J58" s="941">
        <f>IF($B$26="","",-FV('Part II-Sources of Funds'!$K$40/12,12,J52/12,J26))</f>
        <v>-54437.155714034307</v>
      </c>
      <c r="K58" s="941">
        <f>IF($B$26="","",-FV('Part II-Sources of Funds'!$K$40/12,12,K52/12,K26))</f>
        <v>-54437.155714034307</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61630.687201721317</v>
      </c>
      <c r="C64" s="941">
        <f>+'Part VI-Pro Forma'!C57</f>
        <v>59105.464399281867</v>
      </c>
      <c r="D64" s="941">
        <f>+'Part VI-Pro Forma'!D57</f>
        <v>56416.14524439961</v>
      </c>
      <c r="E64" s="941">
        <f>+'Part VI-Pro Forma'!E57</f>
        <v>53557.345253133666</v>
      </c>
      <c r="F64" s="941">
        <f>+'Part VI-Pro Forma'!F57</f>
        <v>50521.45077515758</v>
      </c>
      <c r="G64" s="941">
        <f>+'Part VI-Pro Forma'!G57</f>
        <v>47301.611366130812</v>
      </c>
      <c r="H64" s="941">
        <f>+'Part VI-Pro Forma'!H57</f>
        <v>43890.731916187935</v>
      </c>
      <c r="I64" s="941">
        <f>+'Part VI-Pro Forma'!I57</f>
        <v>40280.464526928059</v>
      </c>
      <c r="J64" s="941">
        <f>+'Part VI-Pro Forma'!J57</f>
        <v>36464.20012905536</v>
      </c>
      <c r="K64" s="941">
        <f>+'Part VI-Pro Forma'!K57</f>
        <v>32432.05983257293</v>
      </c>
    </row>
    <row r="65" spans="1:11">
      <c r="A65" s="940" t="s">
        <v>3349</v>
      </c>
      <c r="B65" s="941">
        <f>SUM('Part VI-Pro Forma'!B58:B61)</f>
        <v>-29791.972615746738</v>
      </c>
      <c r="C65" s="941">
        <f>SUM('Part VI-Pro Forma'!C58:C61)</f>
        <v>-29791.972615746738</v>
      </c>
      <c r="D65" s="941">
        <f>SUM('Part VI-Pro Forma'!D58:D61)</f>
        <v>-29791.972615746738</v>
      </c>
      <c r="E65" s="941">
        <f>SUM('Part VI-Pro Forma'!E58:E61)</f>
        <v>-29791.972615746738</v>
      </c>
      <c r="F65" s="941">
        <f>SUM('Part VI-Pro Forma'!F58:F61)</f>
        <v>-29791.972615746738</v>
      </c>
      <c r="G65" s="941">
        <f>SUM('Part VI-Pro Forma'!G58:G61)</f>
        <v>-29791.972615746738</v>
      </c>
      <c r="H65" s="941">
        <f>SUM('Part VI-Pro Forma'!H58:H61)</f>
        <v>-29791.972615746738</v>
      </c>
      <c r="I65" s="941">
        <f>SUM('Part VI-Pro Forma'!I58:I61)</f>
        <v>-29791.972615746738</v>
      </c>
      <c r="J65" s="941">
        <f>SUM('Part VI-Pro Forma'!J58:J61)</f>
        <v>-29791.972615746738</v>
      </c>
      <c r="K65" s="941">
        <f>SUM('Part VI-Pro Forma'!K58:K61)</f>
        <v>-29791.972615746738</v>
      </c>
    </row>
    <row r="66" spans="1:11">
      <c r="A66" s="940" t="s">
        <v>3350</v>
      </c>
      <c r="B66" s="942">
        <f t="shared" ref="B66:K66" si="7">-B64/B68-B65</f>
        <v>-21566.933385687698</v>
      </c>
      <c r="C66" s="942">
        <f t="shared" si="7"/>
        <v>-19462.581050321489</v>
      </c>
      <c r="D66" s="942">
        <f t="shared" si="7"/>
        <v>-17221.481754586275</v>
      </c>
      <c r="E66" s="942">
        <f t="shared" si="7"/>
        <v>-14839.14842853132</v>
      </c>
      <c r="F66" s="942">
        <f t="shared" si="7"/>
        <v>-12309.236363551245</v>
      </c>
      <c r="G66" s="942">
        <f t="shared" si="7"/>
        <v>-9626.0368560289426</v>
      </c>
      <c r="H66" s="942">
        <f t="shared" si="7"/>
        <v>-6783.6373144098761</v>
      </c>
      <c r="I66" s="942">
        <f t="shared" si="7"/>
        <v>-3775.0811566933116</v>
      </c>
      <c r="J66" s="942">
        <f t="shared" si="7"/>
        <v>-594.86082513273141</v>
      </c>
      <c r="K66" s="942">
        <f t="shared" si="7"/>
        <v>2765.2560886026295</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61630.687201721317</v>
      </c>
      <c r="C71" s="942">
        <f t="shared" si="9"/>
        <v>59105.464399281867</v>
      </c>
      <c r="D71" s="942">
        <f t="shared" si="9"/>
        <v>56416.14524439961</v>
      </c>
      <c r="E71" s="942">
        <f t="shared" si="9"/>
        <v>53557.345253133666</v>
      </c>
      <c r="F71" s="942">
        <f t="shared" si="9"/>
        <v>50521.45077515758</v>
      </c>
      <c r="G71" s="942">
        <f t="shared" si="9"/>
        <v>47301.611366130812</v>
      </c>
      <c r="H71" s="942">
        <f>+H64</f>
        <v>43890.731916187935</v>
      </c>
      <c r="I71" s="942">
        <f>+I64</f>
        <v>40280.464526928059</v>
      </c>
      <c r="J71" s="942">
        <f>+J64</f>
        <v>36464.20012905536</v>
      </c>
      <c r="K71" s="942">
        <f>+K64</f>
        <v>32432.05983257293</v>
      </c>
    </row>
    <row r="72" spans="1:11">
      <c r="A72" s="940" t="s">
        <v>3352</v>
      </c>
      <c r="B72" s="942">
        <f t="shared" ref="B72:G72" si="10">IF($B$25="N/A",B65,B65+$B$25)</f>
        <v>-53333.313633674967</v>
      </c>
      <c r="C72" s="942">
        <f t="shared" si="10"/>
        <v>-53333.313633674967</v>
      </c>
      <c r="D72" s="942">
        <f t="shared" si="10"/>
        <v>-53333.313633674967</v>
      </c>
      <c r="E72" s="942">
        <f t="shared" si="10"/>
        <v>-53333.313633674967</v>
      </c>
      <c r="F72" s="942">
        <f t="shared" si="10"/>
        <v>-53333.313633674967</v>
      </c>
      <c r="G72" s="942">
        <f t="shared" si="10"/>
        <v>-53333.313633674967</v>
      </c>
      <c r="H72" s="942">
        <f>IF($B$25="N/A",H65,H65+$B$25)</f>
        <v>-53333.313633674967</v>
      </c>
      <c r="I72" s="942">
        <f>IF($B$25="N/A",I65,I65+$B$25)</f>
        <v>-53333.313633674967</v>
      </c>
      <c r="J72" s="942">
        <f>IF($B$25="N/A",J65,J65+$B$25)</f>
        <v>-53333.313633674967</v>
      </c>
      <c r="K72" s="942">
        <f>IF($B$25="N/A",K65,K65+$B$25)</f>
        <v>-53333.313633674967</v>
      </c>
    </row>
    <row r="73" spans="1:11">
      <c r="A73" s="940" t="s">
        <v>3353</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3354</v>
      </c>
      <c r="B74" s="942">
        <f t="shared" ref="B74:G74" si="11">+SUM(B71:B73)</f>
        <v>3297.3735680463506</v>
      </c>
      <c r="C74" s="942">
        <f t="shared" si="11"/>
        <v>772.15076560690068</v>
      </c>
      <c r="D74" s="942">
        <f t="shared" si="11"/>
        <v>-1917.1683892753572</v>
      </c>
      <c r="E74" s="942">
        <f t="shared" si="11"/>
        <v>-4775.9683805413006</v>
      </c>
      <c r="F74" s="942">
        <f t="shared" si="11"/>
        <v>-7811.8628585173865</v>
      </c>
      <c r="G74" s="942">
        <f t="shared" si="11"/>
        <v>-11031.702267544155</v>
      </c>
      <c r="H74" s="942">
        <f>+SUM(H71:H73)</f>
        <v>-14442.581717487032</v>
      </c>
      <c r="I74" s="942">
        <f>+SUM(I71:I73)</f>
        <v>-18052.849106746908</v>
      </c>
      <c r="J74" s="942">
        <f>+SUM(J71:J73)</f>
        <v>-21869.113504619607</v>
      </c>
      <c r="K74" s="942">
        <f>+SUM(K71:K73)</f>
        <v>-25901.253801102037</v>
      </c>
    </row>
    <row r="75" spans="1:11">
      <c r="A75" s="940" t="s">
        <v>3272</v>
      </c>
      <c r="B75" s="942">
        <f t="shared" ref="B75:G75" si="12">-B74</f>
        <v>-3297.3735680463506</v>
      </c>
      <c r="C75" s="942">
        <f t="shared" si="12"/>
        <v>-772.15076560690068</v>
      </c>
      <c r="D75" s="942">
        <f t="shared" si="12"/>
        <v>1917.1683892753572</v>
      </c>
      <c r="E75" s="942">
        <f t="shared" si="12"/>
        <v>4775.9683805413006</v>
      </c>
      <c r="F75" s="942">
        <f t="shared" si="12"/>
        <v>7811.8628585173865</v>
      </c>
      <c r="G75" s="942">
        <f t="shared" si="12"/>
        <v>11031.702267544155</v>
      </c>
      <c r="H75" s="942">
        <f>-H74</f>
        <v>14442.581717487032</v>
      </c>
      <c r="I75" s="942">
        <f>-I74</f>
        <v>18052.849106746908</v>
      </c>
      <c r="J75" s="942">
        <f>-J74</f>
        <v>21869.113504619607</v>
      </c>
      <c r="K75" s="942">
        <f>-K74</f>
        <v>25901.253801102037</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-111352.45887338664</v>
      </c>
      <c r="C78" s="941">
        <f>IF($B$26="","",-FV('Part II-Sources of Funds'!$K$40/12,12,C72/12,L58))</f>
        <v>-54437.155714034307</v>
      </c>
      <c r="D78" s="941">
        <f>IF($B$26="","",-FV('Part II-Sources of Funds'!$K$40/12,12,D72/12,M58))</f>
        <v>-54437.155714034307</v>
      </c>
      <c r="E78" s="941">
        <f>IF($B$26="","",-FV('Part II-Sources of Funds'!$K$40/12,12,E72/12,N58))</f>
        <v>-54437.155714034307</v>
      </c>
      <c r="F78" s="941">
        <f>IF($B$26="","",-FV('Part II-Sources of Funds'!$K$40/12,12,F72/12,O58))</f>
        <v>-54437.155714034307</v>
      </c>
      <c r="G78" s="941">
        <f>IF($B$26="","",-FV('Part II-Sources of Funds'!$K$40/12,12,G72/12,P58))</f>
        <v>-54437.155714034307</v>
      </c>
      <c r="H78" s="941">
        <f>IF($B$26="","",-FV('Part II-Sources of Funds'!$K$40/12,12,H72/12,Q58))</f>
        <v>-54437.155714034307</v>
      </c>
      <c r="I78" s="941">
        <f>IF($B$26="","",-FV('Part II-Sources of Funds'!$K$40/12,12,I72/12,R58))</f>
        <v>-54437.155714034307</v>
      </c>
      <c r="J78" s="941">
        <f>IF($B$26="","",-FV('Part II-Sources of Funds'!$K$40/12,12,J72/12,S58))</f>
        <v>-54437.155714034307</v>
      </c>
      <c r="K78" s="941">
        <f>IF($B$26="","",-FV('Part II-Sources of Funds'!$K$40/12,12,K72/12,T58))</f>
        <v>-54437.155714034307</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Pinecrest Village</v>
      </c>
    </row>
    <row r="2" spans="1:15" ht="13.5" customHeight="1"/>
    <row r="3" spans="1:15" ht="13.5" customHeight="1">
      <c r="A3" s="514" t="s">
        <v>2698</v>
      </c>
      <c r="C3" s="513" t="s">
        <v>2699</v>
      </c>
      <c r="E3" s="575">
        <f>SUM('Part III-A-Uses of Funds'!J162,'Part III-A-Uses of Funds'!M162,'Part III-A-Uses of Funds'!P162)</f>
        <v>13830664</v>
      </c>
      <c r="F3" s="1003" t="s">
        <v>2700</v>
      </c>
      <c r="H3" s="988">
        <v>27.5</v>
      </c>
      <c r="I3" s="513" t="s">
        <v>2267</v>
      </c>
      <c r="K3" s="518" t="s">
        <v>2721</v>
      </c>
      <c r="M3" s="1003"/>
      <c r="O3" s="576"/>
    </row>
    <row r="4" spans="1:15" ht="13.5" customHeight="1">
      <c r="C4" s="513" t="s">
        <v>3042</v>
      </c>
      <c r="E4" s="575">
        <f>SUM('Part III-A-Uses of Funds'!G97:H101)</f>
        <v>30000</v>
      </c>
      <c r="F4" s="1003" t="s">
        <v>3540</v>
      </c>
      <c r="H4" s="514">
        <f>'Part II-Sources of Funds'!M40</f>
        <v>30</v>
      </c>
      <c r="I4" s="513" t="s">
        <v>2267</v>
      </c>
      <c r="K4" s="577" t="s">
        <v>2890</v>
      </c>
      <c r="M4" s="1003"/>
    </row>
    <row r="5" spans="1:15" ht="13.5" customHeight="1">
      <c r="C5" s="513" t="s">
        <v>3043</v>
      </c>
      <c r="E5" s="575">
        <f>SUM('Part III-A-Uses of Funds'!G105:H111)</f>
        <v>168200</v>
      </c>
      <c r="F5" s="1003" t="s">
        <v>3539</v>
      </c>
      <c r="H5" s="988">
        <v>15</v>
      </c>
      <c r="I5" s="513" t="s">
        <v>2267</v>
      </c>
      <c r="K5" s="576">
        <f>-E6</f>
        <v>-14736476</v>
      </c>
    </row>
    <row r="6" spans="1:15" ht="13.5" customHeight="1">
      <c r="C6" s="513" t="s">
        <v>2701</v>
      </c>
      <c r="E6" s="578">
        <f>'Part II-Sources of Funds'!$I$51+'Part II-Sources of Funds'!$I$52</f>
        <v>14736476</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31026.507384253244</v>
      </c>
      <c r="D9" s="583">
        <f>'Part VI-Pro Forma'!C33</f>
        <v>43213.516984253234</v>
      </c>
      <c r="E9" s="583">
        <f>'Part VI-Pro Forma'!D33</f>
        <v>41893.188776253271</v>
      </c>
      <c r="F9" s="583">
        <f>'Part VI-Pro Forma'!E33</f>
        <v>40460.059064093221</v>
      </c>
      <c r="G9" s="583">
        <f>'Part VI-Pro Forma'!F33</f>
        <v>38909.49936949012</v>
      </c>
      <c r="H9" s="583">
        <f>'Part VI-Pro Forma'!G33</f>
        <v>37235.710871148869</v>
      </c>
      <c r="I9" s="583">
        <f>'Part VI-Pro Forma'!H33</f>
        <v>35434.718664699336</v>
      </c>
      <c r="K9" s="576" t="e">
        <f>F24</f>
        <v>#VALUE!</v>
      </c>
      <c r="N9" s="584" t="s">
        <v>2707</v>
      </c>
    </row>
    <row r="10" spans="1:15" ht="13.5" customHeight="1">
      <c r="A10" s="513" t="s">
        <v>2706</v>
      </c>
      <c r="C10" s="962">
        <f>'Part II-Sources of Funds'!I40-'Part VI-Pro Forma'!B40</f>
        <v>7998.1083793076687</v>
      </c>
      <c r="D10" s="585">
        <f>'Part VI-Pro Forma'!B40-'Part VI-Pro Forma'!C40</f>
        <v>8362.2069731371594</v>
      </c>
      <c r="E10" s="585">
        <f>'Part VI-Pro Forma'!C40-'Part VI-Pro Forma'!D40</f>
        <v>8742.8804593964596</v>
      </c>
      <c r="F10" s="585">
        <f>'Part VI-Pro Forma'!D40-'Part VI-Pro Forma'!E40</f>
        <v>9140.8833783767768</v>
      </c>
      <c r="G10" s="585">
        <f>'Part VI-Pro Forma'!E40-'Part VI-Pro Forma'!F40</f>
        <v>9557.0046193738817</v>
      </c>
      <c r="H10" s="585">
        <f>'Part VI-Pro Forma'!F40-'Part VI-Pro Forma'!G40</f>
        <v>9992.0689843603177</v>
      </c>
      <c r="I10" s="585">
        <f>'Part VI-Pro Forma'!G40-'Part VI-Pro Forma'!H40</f>
        <v>10446.938822841796</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-14400</v>
      </c>
      <c r="D13" s="963">
        <f>'Part VI-Pro Forma'!C23</f>
        <v>-14832</v>
      </c>
      <c r="E13" s="963">
        <f>'Part VI-Pro Forma'!D23</f>
        <v>-15276.96</v>
      </c>
      <c r="F13" s="963">
        <f>'Part VI-Pro Forma'!E23</f>
        <v>-15735.2688</v>
      </c>
      <c r="G13" s="963">
        <f>'Part VI-Pro Forma'!F23</f>
        <v>-16207.326863999999</v>
      </c>
      <c r="H13" s="963">
        <f>'Part VI-Pro Forma'!G23</f>
        <v>-16693.546669919997</v>
      </c>
      <c r="I13" s="963">
        <f>'Part VI-Pro Forma'!H23</f>
        <v>-17194.353070017598</v>
      </c>
      <c r="K13" s="576" t="e">
        <f>C44</f>
        <v>#VALUE!</v>
      </c>
      <c r="O13" s="581"/>
    </row>
    <row r="14" spans="1:15" ht="13.5" customHeight="1">
      <c r="A14" s="587" t="s">
        <v>3045</v>
      </c>
      <c r="B14" s="587"/>
      <c r="C14" s="963">
        <f>'Part VI-Pro Forma'!B32</f>
        <v>-13400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502933.23636363639</v>
      </c>
      <c r="D15" s="588">
        <f t="shared" si="0"/>
        <v>502933.23636363639</v>
      </c>
      <c r="E15" s="588">
        <f t="shared" si="0"/>
        <v>502933.23636363639</v>
      </c>
      <c r="F15" s="588">
        <f t="shared" si="0"/>
        <v>502933.23636363639</v>
      </c>
      <c r="G15" s="588">
        <f t="shared" si="0"/>
        <v>502933.23636363639</v>
      </c>
      <c r="H15" s="588">
        <f t="shared" si="0"/>
        <v>502933.23636363639</v>
      </c>
      <c r="I15" s="588">
        <f t="shared" si="0"/>
        <v>502933.23636363639</v>
      </c>
      <c r="K15" s="576" t="e">
        <f>E44</f>
        <v>#VALUE!</v>
      </c>
      <c r="O15" s="581"/>
    </row>
    <row r="16" spans="1:15" ht="13.5" customHeight="1">
      <c r="A16" s="513" t="s">
        <v>2711</v>
      </c>
      <c r="C16" s="588">
        <f>IF(C$8&lt;=$H$4,($E$4/$H$4),0)+IF(C$8&lt;=$H$5,($E$5/$H$5),0)</f>
        <v>12213.333333333334</v>
      </c>
      <c r="D16" s="588">
        <f t="shared" ref="D16:I16" si="1">IF(D$8&lt;=$H$4,($E$4/$H$4),0)+IF(D$8&lt;=$H$5,($E$5/$H$5),0)</f>
        <v>12213.333333333334</v>
      </c>
      <c r="E16" s="588">
        <f t="shared" si="1"/>
        <v>12213.333333333334</v>
      </c>
      <c r="F16" s="588">
        <f t="shared" si="1"/>
        <v>12213.333333333334</v>
      </c>
      <c r="G16" s="588">
        <f t="shared" si="1"/>
        <v>12213.333333333334</v>
      </c>
      <c r="H16" s="588">
        <f t="shared" si="1"/>
        <v>12213.333333333334</v>
      </c>
      <c r="I16" s="588">
        <f t="shared" si="1"/>
        <v>12213.333333333334</v>
      </c>
      <c r="K16" s="576" t="e">
        <f>F44</f>
        <v>#VALUE!</v>
      </c>
      <c r="M16" s="513" t="s">
        <v>2715</v>
      </c>
      <c r="O16" s="581">
        <f>E3</f>
        <v>13830664</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10058664.727272728</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3771999.2727272715</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1215000</v>
      </c>
      <c r="D21" s="589">
        <f t="shared" ref="D21:I21" si="5">C21</f>
        <v>1215000</v>
      </c>
      <c r="E21" s="589">
        <f t="shared" si="5"/>
        <v>1215000</v>
      </c>
      <c r="F21" s="589">
        <f t="shared" si="5"/>
        <v>1215000</v>
      </c>
      <c r="G21" s="589">
        <f t="shared" si="5"/>
        <v>1215000</v>
      </c>
      <c r="H21" s="589">
        <f t="shared" si="5"/>
        <v>1215000</v>
      </c>
      <c r="I21" s="589">
        <f t="shared" si="5"/>
        <v>1215000</v>
      </c>
      <c r="J21" s="513" t="s">
        <v>233</v>
      </c>
      <c r="K21" s="576" t="e">
        <f>D64</f>
        <v>#VALUE!</v>
      </c>
      <c r="O21" s="581"/>
    </row>
    <row r="22" spans="1:17" ht="13.5" customHeight="1">
      <c r="A22" s="513" t="s">
        <v>2718</v>
      </c>
      <c r="C22" s="589">
        <f>C21</f>
        <v>1215000</v>
      </c>
      <c r="D22" s="589">
        <f t="shared" ref="D22:I22" si="6">D21</f>
        <v>1215000</v>
      </c>
      <c r="E22" s="589">
        <f t="shared" si="6"/>
        <v>1215000</v>
      </c>
      <c r="F22" s="589">
        <f t="shared" si="6"/>
        <v>1215000</v>
      </c>
      <c r="G22" s="589">
        <f t="shared" si="6"/>
        <v>1215000</v>
      </c>
      <c r="H22" s="589">
        <f t="shared" si="6"/>
        <v>1215000</v>
      </c>
      <c r="I22" s="589">
        <f t="shared" si="6"/>
        <v>1215000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3771999.2727272715</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-3771999.2727272715</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33499.365837835197</v>
      </c>
      <c r="D29" s="583">
        <f>'Part VI-Pro Forma'!J33</f>
        <v>31426.307354859731</v>
      </c>
      <c r="E29" s="583">
        <f>'Part VI-Pro Forma'!K33</f>
        <v>29208.00374466322</v>
      </c>
      <c r="F29" s="583">
        <f>'Part VI-Pro Forma'!B65</f>
        <v>26838.71458597458</v>
      </c>
      <c r="G29" s="583">
        <f>'Part VI-Pro Forma'!C65</f>
        <v>24313.49178353513</v>
      </c>
      <c r="H29" s="583">
        <f>'Part VI-Pro Forma'!D65</f>
        <v>21624.172628652872</v>
      </c>
      <c r="I29" s="583">
        <f>'Part VI-Pro Forma'!E65</f>
        <v>18765.372637386929</v>
      </c>
      <c r="N29" s="592"/>
      <c r="O29" s="592"/>
    </row>
    <row r="30" spans="1:17" ht="13.5" customHeight="1">
      <c r="A30" s="513" t="s">
        <v>2706</v>
      </c>
      <c r="C30" s="585">
        <f>'Part VI-Pro Forma'!H40-'Part VI-Pro Forma'!I40</f>
        <v>10922.515741136682</v>
      </c>
      <c r="D30" s="585">
        <f>'Part VI-Pro Forma'!I40-'Part VI-Pro Forma'!J40</f>
        <v>11419.742389467312</v>
      </c>
      <c r="E30" s="585">
        <f>'Part VI-Pro Forma'!J40-'Part VI-Pro Forma'!K40</f>
        <v>11939.604330405477</v>
      </c>
      <c r="F30" s="960">
        <f>'Part VI-Pro Forma'!K40-'Part VI-Pro Forma'!B72</f>
        <v>12483.131992374663</v>
      </c>
      <c r="G30" s="960">
        <f>'Part VI-Pro Forma'!B72-'Part VI-Pro Forma'!C72</f>
        <v>13051.402712082665</v>
      </c>
      <c r="H30" s="960">
        <f>'Part VI-Pro Forma'!C72-'Part VI-Pro Forma'!D72</f>
        <v>13645.542869931262</v>
      </c>
      <c r="I30" s="960">
        <f>'Part VI-Pro Forma'!D72-'Part VI-Pro Forma'!E72</f>
        <v>14266.730122636654</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-754399.85454545438</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-17710.183662118128</v>
      </c>
      <c r="D33" s="963">
        <f>'Part VI-Pro Forma'!J23</f>
        <v>-18241.48917198167</v>
      </c>
      <c r="E33" s="963">
        <f>'Part VI-Pro Forma'!K23</f>
        <v>-18788.73384714112</v>
      </c>
      <c r="F33" s="963">
        <f>'Part VI-Pro Forma'!B55</f>
        <v>-19352.395862555353</v>
      </c>
      <c r="G33" s="963">
        <f>'Part VI-Pro Forma'!C55</f>
        <v>-19932.967738432017</v>
      </c>
      <c r="H33" s="963">
        <f>'Part VI-Pro Forma'!D55</f>
        <v>-20530.956770584973</v>
      </c>
      <c r="I33" s="963">
        <f>'Part VI-Pro Forma'!E55</f>
        <v>-21146.885473702521</v>
      </c>
      <c r="K33" s="513" t="s">
        <v>233</v>
      </c>
      <c r="M33" s="513" t="s">
        <v>2726</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502933.23636363639</v>
      </c>
      <c r="D35" s="588">
        <f t="shared" si="8"/>
        <v>502933.23636363639</v>
      </c>
      <c r="E35" s="588">
        <f t="shared" si="8"/>
        <v>502933.23636363639</v>
      </c>
      <c r="F35" s="588">
        <f t="shared" si="8"/>
        <v>502933.23636363639</v>
      </c>
      <c r="G35" s="588">
        <f t="shared" si="8"/>
        <v>502933.23636363639</v>
      </c>
      <c r="H35" s="588">
        <f t="shared" si="8"/>
        <v>502933.23636363639</v>
      </c>
      <c r="I35" s="588">
        <f t="shared" si="8"/>
        <v>502933.23636363639</v>
      </c>
    </row>
    <row r="36" spans="1:15" ht="13.5" customHeight="1">
      <c r="A36" s="513" t="s">
        <v>2711</v>
      </c>
      <c r="C36" s="583">
        <f>IF(C$28&lt;=$H$4,($E$4/$H$4),0)+IF(C$28&lt;=$H$5,($E$5/$H$5),0)</f>
        <v>12213.333333333334</v>
      </c>
      <c r="D36" s="583">
        <f t="shared" ref="D36:I36" si="9">IF(D$28&lt;=$H$4,($E$4/$H$4),0)+IF(D$28&lt;=$H$5,($E$5/$H$5),0)</f>
        <v>12213.333333333334</v>
      </c>
      <c r="E36" s="583">
        <f t="shared" si="9"/>
        <v>12213.333333333334</v>
      </c>
      <c r="F36" s="583">
        <f t="shared" si="9"/>
        <v>12213.333333333334</v>
      </c>
      <c r="G36" s="583">
        <f t="shared" si="9"/>
        <v>12213.333333333334</v>
      </c>
      <c r="H36" s="583">
        <f t="shared" si="9"/>
        <v>12213.333333333334</v>
      </c>
      <c r="I36" s="583">
        <f t="shared" si="9"/>
        <v>12213.333333333334</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1215000</v>
      </c>
      <c r="D41" s="589">
        <f>C41</f>
        <v>1215000</v>
      </c>
      <c r="E41" s="589">
        <f>D41</f>
        <v>1215000</v>
      </c>
      <c r="F41" s="589">
        <v>0</v>
      </c>
      <c r="G41" s="589">
        <v>0</v>
      </c>
      <c r="H41" s="589">
        <v>0</v>
      </c>
      <c r="I41" s="589">
        <v>0</v>
      </c>
    </row>
    <row r="42" spans="1:15" ht="13.5" customHeight="1">
      <c r="A42" s="513" t="s">
        <v>2718</v>
      </c>
      <c r="C42" s="589">
        <f>C22</f>
        <v>1215000</v>
      </c>
      <c r="D42" s="589">
        <f>C42</f>
        <v>1215000</v>
      </c>
      <c r="E42" s="589">
        <f>D42</f>
        <v>1215000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15729.478159410843</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14916.195737485832</v>
      </c>
      <c r="D50" s="961">
        <f>'Part VI-Pro Forma'!F72-'Part VI-Pro Forma'!G72</f>
        <v>15595.227032854978</v>
      </c>
      <c r="E50" s="961">
        <f>'Part VI-Pro Forma'!G72-'Part VI-Pro Forma'!H72</f>
        <v>16305.169929828611</v>
      </c>
      <c r="F50" s="961">
        <f>'Part VI-Pro Forma'!H72-'Part VI-Pro Forma'!I72</f>
        <v>17047.431619975367</v>
      </c>
      <c r="G50" s="961">
        <f>'Part VI-Pro Forma'!I72-'Part VI-Pro Forma'!J72</f>
        <v>17823.483354569966</v>
      </c>
      <c r="H50" s="961">
        <f>'Part VI-Pro Forma'!J72-'Part VI-Pro Forma'!K72</f>
        <v>18634.863360788964</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-21781.292037913598</v>
      </c>
      <c r="D53" s="963">
        <f>'Part VI-Pro Forma'!G55</f>
        <v>-22434.730799051009</v>
      </c>
      <c r="E53" s="963">
        <f>'Part VI-Pro Forma'!H55</f>
        <v>-23107.772723022536</v>
      </c>
      <c r="F53" s="963">
        <f>'Part VI-Pro Forma'!I55</f>
        <v>-23801.005904713209</v>
      </c>
      <c r="G53" s="963">
        <f>'Part VI-Pro Forma'!J55</f>
        <v>-24515.036081854607</v>
      </c>
      <c r="H53" s="963">
        <f>'Part VI-Pro Forma'!K55</f>
        <v>-25250.487164310245</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502933.23636363639</v>
      </c>
      <c r="D55" s="588">
        <f t="shared" si="14"/>
        <v>502933.23636363639</v>
      </c>
      <c r="E55" s="588">
        <f t="shared" si="14"/>
        <v>502933.23636363639</v>
      </c>
      <c r="F55" s="588">
        <f t="shared" si="14"/>
        <v>502933.23636363639</v>
      </c>
      <c r="G55" s="588">
        <f t="shared" si="14"/>
        <v>502933.23636363639</v>
      </c>
      <c r="H55" s="588">
        <f t="shared" si="14"/>
        <v>502933.23636363639</v>
      </c>
    </row>
    <row r="56" spans="1:10" ht="13.5" customHeight="1">
      <c r="A56" s="513" t="s">
        <v>2711</v>
      </c>
      <c r="C56" s="583">
        <f t="shared" ref="C56:H56" si="15">IF(C$48&lt;=$H$4,($E$4/$H$4),0)+IF(C$48&lt;=$H$5,($E$5/$H$5),0)</f>
        <v>12213.333333333334</v>
      </c>
      <c r="D56" s="583">
        <f t="shared" si="15"/>
        <v>1000</v>
      </c>
      <c r="E56" s="583">
        <f t="shared" si="15"/>
        <v>1000</v>
      </c>
      <c r="F56" s="583">
        <f t="shared" si="15"/>
        <v>1000</v>
      </c>
      <c r="G56" s="583">
        <f t="shared" si="15"/>
        <v>1000</v>
      </c>
      <c r="H56" s="583">
        <f t="shared" si="15"/>
        <v>1000</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5" t="str">
        <f>'Sensitivity Analysis'!C8</f>
        <v>Pinecrest Village</v>
      </c>
      <c r="B1" s="4675"/>
      <c r="C1" s="4675"/>
      <c r="D1" s="4675"/>
      <c r="E1" s="4675"/>
      <c r="F1" s="4675"/>
      <c r="G1" s="4675"/>
      <c r="H1" s="4675"/>
      <c r="I1" s="4675"/>
      <c r="J1" s="4675"/>
      <c r="K1" s="4675"/>
    </row>
    <row r="2" spans="1:11" s="438" customFormat="1" ht="17.649999999999999"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3961</v>
      </c>
      <c r="B4" s="4676"/>
      <c r="C4" s="1391"/>
      <c r="D4" s="4676" t="s">
        <v>3962</v>
      </c>
      <c r="E4" s="4676"/>
      <c r="F4" s="520"/>
      <c r="G4" s="4676" t="s">
        <v>3963</v>
      </c>
      <c r="H4" s="4676"/>
      <c r="I4" s="520"/>
      <c r="J4" s="4676" t="s">
        <v>4074</v>
      </c>
      <c r="K4" s="4676"/>
    </row>
    <row r="5" spans="1:11" ht="25.9" customHeight="1">
      <c r="A5" s="4677" t="str">
        <f>'Part II-Sources of Funds'!E40</f>
        <v>Atlanta Neighborhood Development Partnership, Inc.</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2482.6643846455613</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2482.6643846455613</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2482.6643846455613</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2482.6643846455613</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2482.6643846455613</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2482.6643846455613</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2482.6643846455613</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2482.6643846455613</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2482.6643846455613</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2482.6643846455613</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2482.6643846455613</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2482.6643846455613</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2482.6643846455613</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2482.6643846455613</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2482.6643846455613</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2482.6643846455613</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2482.6643846455613</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2482.6643846455613</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2482.6643846455613</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2482.6643846455613</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2482.6643846455613</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2482.6643846455613</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2482.6643846455613</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2482.6643846455613</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2482.6643846455613</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2482.6643846455613</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2482.6643846455613</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2482.6643846455613</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2482.6643846455613</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2482.6643846455613</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1" t="str">
        <f>CONCATENATE('Sensitivity Analysis'!E8,"  ",'Sensitivity Analysis'!C8)</f>
        <v>2024-0  Pinecrest Village</v>
      </c>
      <c r="B1" s="4681"/>
      <c r="C1" s="4681"/>
      <c r="D1" s="4681"/>
      <c r="E1" s="4681"/>
      <c r="F1" s="4681"/>
      <c r="G1" s="4681"/>
      <c r="H1" s="4681"/>
    </row>
    <row r="3" spans="1:11" ht="12" customHeight="1">
      <c r="A3" s="4682" t="s">
        <v>3019</v>
      </c>
      <c r="B3" s="4682"/>
      <c r="C3" s="4682"/>
      <c r="D3" s="4682"/>
      <c r="E3" s="4682"/>
      <c r="F3" s="4682"/>
      <c r="G3" s="4682"/>
      <c r="H3" s="4682"/>
      <c r="I3" s="1006"/>
      <c r="J3" s="4684" t="s">
        <v>3368</v>
      </c>
      <c r="K3" s="4684"/>
    </row>
    <row r="4" spans="1:11">
      <c r="J4" s="4684"/>
      <c r="K4" s="4684"/>
    </row>
    <row r="5" spans="1:11" ht="12" customHeight="1">
      <c r="A5" s="431">
        <v>1</v>
      </c>
      <c r="C5" s="431" t="s">
        <v>2730</v>
      </c>
      <c r="E5" s="608">
        <f>'Sensitivity Analysis'!H9</f>
        <v>0</v>
      </c>
      <c r="J5" s="4684"/>
      <c r="K5" s="4684"/>
    </row>
    <row r="6" spans="1:11" ht="3" customHeight="1">
      <c r="H6" s="599"/>
      <c r="J6" s="4684"/>
      <c r="K6" s="4684"/>
    </row>
    <row r="7" spans="1:11" ht="12" customHeight="1">
      <c r="A7" s="431">
        <v>2</v>
      </c>
      <c r="C7" s="431" t="s">
        <v>2731</v>
      </c>
      <c r="E7" s="4680"/>
      <c r="F7" s="4680"/>
      <c r="G7" s="4680"/>
      <c r="H7" s="4680"/>
      <c r="J7" s="4684"/>
      <c r="K7" s="4684"/>
    </row>
    <row r="8" spans="1:11" ht="12" customHeight="1">
      <c r="E8" s="4680"/>
      <c r="F8" s="4680"/>
      <c r="G8" s="4680"/>
      <c r="H8" s="4680"/>
      <c r="J8" s="4684"/>
      <c r="K8" s="4684"/>
    </row>
    <row r="9" spans="1:11" ht="12" customHeight="1">
      <c r="C9" s="431" t="s">
        <v>2732</v>
      </c>
      <c r="E9" s="4683"/>
      <c r="F9" s="4683"/>
      <c r="J9" s="4684"/>
      <c r="K9" s="4684"/>
    </row>
    <row r="10" spans="1:11" ht="12" customHeight="1">
      <c r="C10" s="431" t="s">
        <v>2733</v>
      </c>
      <c r="E10" s="4680"/>
      <c r="F10" s="4680"/>
      <c r="G10" s="4680"/>
      <c r="H10" s="4680"/>
    </row>
    <row r="11" spans="1:11" ht="12" customHeight="1">
      <c r="C11" s="431" t="s">
        <v>3373</v>
      </c>
      <c r="E11" s="4680"/>
      <c r="F11" s="4680"/>
      <c r="G11" s="4680"/>
      <c r="H11" s="4680"/>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Pinecrest Village</v>
      </c>
    </row>
    <row r="16" spans="1:11" ht="12" customHeight="1">
      <c r="C16" s="431" t="s">
        <v>2735</v>
      </c>
      <c r="E16" s="4680"/>
      <c r="F16" s="4680"/>
      <c r="G16" s="4680"/>
      <c r="H16" s="4680"/>
    </row>
    <row r="17" spans="1:8" ht="12" customHeight="1">
      <c r="E17" s="437" t="str">
        <f>'Part I-Project Identification'!F27</f>
        <v>Douglas</v>
      </c>
      <c r="F17" s="598" t="s">
        <v>790</v>
      </c>
      <c r="G17" s="4679" t="s">
        <v>4640</v>
      </c>
      <c r="H17" s="4679"/>
    </row>
    <row r="18" spans="1:8" ht="12" customHeight="1">
      <c r="E18" s="608" t="str">
        <f>'Part I-Project Identification'!J27</f>
        <v>Coffee</v>
      </c>
    </row>
    <row r="19" spans="1:8" ht="3" customHeight="1"/>
    <row r="20" spans="1:8" ht="12" customHeight="1">
      <c r="A20" s="431">
        <v>4</v>
      </c>
      <c r="C20" s="431" t="s">
        <v>2736</v>
      </c>
      <c r="E20" s="4680"/>
      <c r="F20" s="4680"/>
      <c r="G20" s="4680"/>
      <c r="H20" s="4680"/>
    </row>
    <row r="21" spans="1:8" ht="12" customHeight="1">
      <c r="C21" s="431" t="s">
        <v>2737</v>
      </c>
      <c r="E21" s="4680"/>
      <c r="F21" s="4680"/>
      <c r="G21" s="4680"/>
      <c r="H21" s="4680"/>
    </row>
    <row r="22" spans="1:8" ht="12" customHeight="1">
      <c r="E22" s="4680"/>
      <c r="F22" s="4680"/>
      <c r="G22" s="4680"/>
      <c r="H22" s="4680"/>
    </row>
    <row r="23" spans="1:8" ht="12" customHeight="1">
      <c r="C23" s="431" t="s">
        <v>3369</v>
      </c>
      <c r="E23" s="1900"/>
    </row>
    <row r="24" spans="1:8" ht="12" customHeight="1">
      <c r="C24" s="431" t="s">
        <v>3372</v>
      </c>
      <c r="E24" s="1900"/>
    </row>
    <row r="25" spans="1:8" ht="12" customHeight="1">
      <c r="C25" s="431" t="s">
        <v>3373</v>
      </c>
      <c r="E25" s="4680"/>
      <c r="F25" s="4680"/>
      <c r="G25" s="4680"/>
      <c r="H25" s="4680"/>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10830482</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180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0"/>
      <c r="F48" s="4680"/>
      <c r="G48" s="4680"/>
      <c r="H48" s="4680"/>
    </row>
    <row r="49" spans="1:8" ht="3" customHeight="1">
      <c r="E49" s="608"/>
    </row>
    <row r="50" spans="1:8" ht="12" customHeight="1">
      <c r="A50" s="431">
        <v>15</v>
      </c>
      <c r="C50" s="431" t="s">
        <v>3375</v>
      </c>
      <c r="E50" s="4680"/>
      <c r="F50" s="4680"/>
      <c r="G50" s="4680"/>
      <c r="H50" s="4680"/>
    </row>
    <row r="51" spans="1:8" ht="12" customHeight="1">
      <c r="C51" s="431" t="s">
        <v>2754</v>
      </c>
      <c r="E51" s="4680"/>
      <c r="F51" s="4680"/>
      <c r="G51" s="4680"/>
      <c r="H51" s="4680"/>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f>'Subsidy Layering Memo'!$L$70</f>
        <v>239996.86718966751</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161032</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73068</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5" t="s">
        <v>2893</v>
      </c>
      <c r="B1" s="4695"/>
      <c r="C1" s="4695"/>
      <c r="D1" s="4695"/>
      <c r="E1" s="4695"/>
      <c r="F1" s="4695"/>
      <c r="G1" s="4695"/>
      <c r="H1" s="4695"/>
      <c r="I1" s="4695"/>
      <c r="J1" s="4695"/>
    </row>
    <row r="2" spans="1:13" ht="15">
      <c r="A2" s="4695" t="str">
        <f>'Sensitivity Analysis'!E8&amp;"  "&amp;'Sensitivity Analysis'!C8</f>
        <v>2024-0  Pinecrest Village</v>
      </c>
      <c r="B2" s="4695"/>
      <c r="C2" s="4695"/>
      <c r="D2" s="4695"/>
      <c r="E2" s="4695"/>
      <c r="F2" s="4695"/>
      <c r="G2" s="4695"/>
      <c r="H2" s="4695"/>
      <c r="I2" s="4695"/>
      <c r="J2" s="4695"/>
    </row>
    <row r="3" spans="1:13" ht="6" customHeight="1">
      <c r="K3" s="4684" t="s">
        <v>3368</v>
      </c>
      <c r="L3" s="4684"/>
      <c r="M3" s="4684"/>
    </row>
    <row r="4" spans="1:13" ht="12" customHeight="1">
      <c r="A4" s="601" t="s">
        <v>2769</v>
      </c>
      <c r="K4" s="4684"/>
      <c r="L4" s="4684"/>
      <c r="M4" s="4684"/>
    </row>
    <row r="5" spans="1:13" ht="12" customHeight="1">
      <c r="A5" s="431" t="s">
        <v>2770</v>
      </c>
      <c r="C5" s="549" t="str">
        <f>'Subsidy Layering Memo'!D6</f>
        <v>(Underwriter)</v>
      </c>
      <c r="I5" s="549"/>
      <c r="K5" s="4684"/>
      <c r="L5" s="4684"/>
      <c r="M5" s="4684"/>
    </row>
    <row r="6" spans="1:13" ht="6" customHeight="1">
      <c r="C6" s="549"/>
      <c r="D6" s="549"/>
      <c r="I6" s="549"/>
      <c r="K6" s="4684"/>
      <c r="L6" s="4684"/>
      <c r="M6" s="4684"/>
    </row>
    <row r="7" spans="1:13" ht="12" customHeight="1">
      <c r="A7" s="601" t="s">
        <v>2771</v>
      </c>
      <c r="C7" s="549"/>
      <c r="D7" s="549"/>
      <c r="I7" s="549"/>
      <c r="K7" s="4684"/>
      <c r="L7" s="4684"/>
      <c r="M7" s="4684"/>
    </row>
    <row r="8" spans="1:13" ht="12" customHeight="1">
      <c r="A8" s="431" t="s">
        <v>2772</v>
      </c>
      <c r="C8" s="549">
        <f>'Sensitivity Analysis'!$H$9</f>
        <v>0</v>
      </c>
      <c r="I8" s="549"/>
      <c r="K8" s="4684"/>
      <c r="L8" s="4684"/>
      <c r="M8" s="4684"/>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5"/>
      <c r="E13" s="4685"/>
      <c r="F13" s="4685"/>
      <c r="G13" s="4685"/>
      <c r="H13" s="4685"/>
      <c r="I13" s="4685"/>
      <c r="J13" s="4685"/>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Pinecrest Village</v>
      </c>
      <c r="I28" s="549"/>
    </row>
    <row r="29" spans="1:9" ht="3" customHeight="1">
      <c r="C29" s="602"/>
      <c r="I29" s="549"/>
    </row>
    <row r="30" spans="1:9" ht="12" customHeight="1">
      <c r="A30" s="431" t="s">
        <v>2782</v>
      </c>
      <c r="C30" s="602">
        <f>'Preview term'!E16</f>
        <v>0</v>
      </c>
      <c r="I30" s="549"/>
    </row>
    <row r="31" spans="1:9">
      <c r="C31" s="549" t="str">
        <f>'Preview term'!E17</f>
        <v>Douglas</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4062</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2789</v>
      </c>
      <c r="C42" s="4696" t="s">
        <v>3023</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2790</v>
      </c>
      <c r="C44" s="503" t="str">
        <f>'Part I-Project Identification'!J27</f>
        <v>Coffee</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6" t="s">
        <v>532</v>
      </c>
      <c r="D50" s="4696"/>
      <c r="E50" s="4696"/>
      <c r="F50" s="4696"/>
      <c r="G50" s="4696"/>
      <c r="H50" s="4696"/>
      <c r="I50" s="4696"/>
      <c r="J50" s="4696"/>
    </row>
    <row r="51" spans="1:10" ht="12" customHeight="1">
      <c r="C51" s="4687" t="s">
        <v>1672</v>
      </c>
      <c r="D51" s="4687"/>
      <c r="E51" s="4687"/>
      <c r="F51" s="4687"/>
      <c r="G51" s="4687"/>
      <c r="H51" s="4687"/>
      <c r="I51" s="4687"/>
      <c r="J51" s="4687"/>
    </row>
    <row r="52" spans="1:10" ht="3" customHeight="1">
      <c r="D52" s="606"/>
      <c r="E52" s="606"/>
      <c r="F52" s="606"/>
      <c r="G52" s="606"/>
      <c r="H52" s="549"/>
      <c r="I52" s="606"/>
      <c r="J52" s="606"/>
    </row>
    <row r="53" spans="1:10" ht="12" customHeight="1">
      <c r="A53" s="605" t="s">
        <v>2794</v>
      </c>
      <c r="B53" s="605"/>
      <c r="C53" s="607" t="s">
        <v>2795</v>
      </c>
      <c r="D53" s="607" t="s">
        <v>3024</v>
      </c>
      <c r="E53" s="4688"/>
      <c r="F53" s="4688"/>
      <c r="G53" s="4688"/>
      <c r="H53" s="4688"/>
      <c r="I53" s="4688"/>
      <c r="J53" s="4688"/>
    </row>
    <row r="54" spans="1:10" ht="12" customHeight="1">
      <c r="A54" s="605"/>
      <c r="B54" s="605"/>
      <c r="C54" s="605"/>
      <c r="D54" s="607" t="s">
        <v>3025</v>
      </c>
      <c r="E54" s="4689"/>
      <c r="F54" s="4689"/>
      <c r="G54" s="4689"/>
      <c r="H54" s="4689"/>
      <c r="I54" s="4689"/>
      <c r="J54" s="4689"/>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10830482</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5"/>
      <c r="E69" s="4685"/>
      <c r="F69" s="4685"/>
      <c r="G69" s="4685"/>
      <c r="H69" s="4685"/>
      <c r="I69" s="4685"/>
      <c r="J69" s="4685"/>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180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f>'Subsidy Layering Memo'!L70</f>
        <v>239996.86718966751</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Sterling Bank</v>
      </c>
      <c r="I93" s="549"/>
    </row>
    <row r="94" spans="1:9" ht="12" customHeight="1">
      <c r="C94" s="608"/>
      <c r="D94" s="549"/>
      <c r="E94" s="608" t="s">
        <v>1665</v>
      </c>
      <c r="F94" s="4680"/>
      <c r="G94" s="4680"/>
      <c r="H94" s="4680"/>
      <c r="I94" s="549"/>
    </row>
    <row r="95" spans="1:9" ht="12" customHeight="1">
      <c r="C95" s="608"/>
      <c r="D95" s="549"/>
      <c r="E95" s="608" t="s">
        <v>1835</v>
      </c>
      <c r="F95" s="4690"/>
      <c r="G95" s="4690"/>
      <c r="H95" s="4690"/>
      <c r="I95" s="549"/>
    </row>
    <row r="96" spans="1:9" ht="12" customHeight="1">
      <c r="C96" s="608"/>
      <c r="D96" s="549"/>
      <c r="E96" s="608" t="s">
        <v>1667</v>
      </c>
      <c r="F96" s="4683"/>
      <c r="G96" s="4683"/>
      <c r="H96" s="4683"/>
      <c r="I96" s="549"/>
    </row>
    <row r="97" spans="1:10" ht="12" customHeight="1">
      <c r="B97" s="603"/>
      <c r="C97" s="610" t="s">
        <v>2905</v>
      </c>
      <c r="D97" s="549" t="s">
        <v>2822</v>
      </c>
      <c r="E97" s="608" t="str">
        <f>'Part II-Sources of Funds'!E40</f>
        <v>Atlanta Neighborhood Development Partnership, Inc.</v>
      </c>
      <c r="I97" s="549"/>
    </row>
    <row r="98" spans="1:10" ht="12" customHeight="1">
      <c r="C98" s="608"/>
      <c r="D98" s="549"/>
      <c r="E98" s="608" t="s">
        <v>1665</v>
      </c>
      <c r="F98" s="4680"/>
      <c r="G98" s="4680"/>
      <c r="H98" s="4680"/>
      <c r="I98" s="549"/>
    </row>
    <row r="99" spans="1:10" ht="12" customHeight="1">
      <c r="C99" s="608"/>
      <c r="D99" s="549"/>
      <c r="E99" s="608" t="s">
        <v>1835</v>
      </c>
      <c r="F99" s="4690"/>
      <c r="G99" s="4690"/>
      <c r="H99" s="4690"/>
      <c r="I99" s="549"/>
    </row>
    <row r="100" spans="1:10" ht="12" customHeight="1">
      <c r="C100" s="608"/>
      <c r="D100" s="549"/>
      <c r="E100" s="608" t="s">
        <v>1667</v>
      </c>
      <c r="F100" s="4683"/>
      <c r="G100" s="4683"/>
      <c r="H100" s="4683"/>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1"/>
      <c r="E107" s="4691"/>
      <c r="F107" s="4691"/>
      <c r="G107" s="4691"/>
      <c r="H107" s="4691"/>
      <c r="I107" s="4691"/>
      <c r="J107" s="4692"/>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4" t="s">
        <v>4066</v>
      </c>
      <c r="F120" s="4694"/>
      <c r="G120" s="4694"/>
      <c r="H120" s="4694"/>
      <c r="I120" s="4694"/>
      <c r="J120" s="4694"/>
    </row>
    <row r="121" spans="1:10" ht="12" customHeight="1">
      <c r="C121" s="549" t="s">
        <v>2833</v>
      </c>
      <c r="D121" s="980"/>
      <c r="E121" s="4694"/>
      <c r="F121" s="4694"/>
      <c r="G121" s="4694"/>
      <c r="H121" s="4694"/>
      <c r="I121" s="4694"/>
      <c r="J121" s="4694"/>
    </row>
    <row r="122" spans="1:10" ht="12" customHeight="1">
      <c r="C122" s="549" t="s">
        <v>2834</v>
      </c>
      <c r="D122" s="980"/>
      <c r="E122" s="4694"/>
      <c r="F122" s="4694"/>
      <c r="G122" s="4694"/>
      <c r="H122" s="4694"/>
      <c r="I122" s="4694"/>
      <c r="J122" s="4694"/>
    </row>
    <row r="123" spans="1:10" ht="12" customHeight="1">
      <c r="C123" s="549" t="s">
        <v>2834</v>
      </c>
      <c r="D123" s="980"/>
      <c r="E123" s="4694"/>
      <c r="F123" s="4694"/>
      <c r="G123" s="4694"/>
      <c r="H123" s="4694"/>
      <c r="I123" s="4694"/>
      <c r="J123" s="4694"/>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653300</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85"/>
      <c r="F166" s="4685"/>
      <c r="G166" s="4685"/>
      <c r="I166" s="549"/>
    </row>
    <row r="167" spans="1:9" ht="3" customHeight="1">
      <c r="E167" s="549"/>
      <c r="G167" s="549"/>
      <c r="I167" s="549"/>
    </row>
    <row r="168" spans="1:9" ht="12" customHeight="1">
      <c r="A168" s="431" t="s">
        <v>2857</v>
      </c>
      <c r="C168" s="431" t="s">
        <v>2858</v>
      </c>
      <c r="E168" s="620">
        <f>'Preview term'!F74</f>
        <v>161032</v>
      </c>
      <c r="G168" s="549"/>
      <c r="I168" s="549"/>
    </row>
    <row r="169" spans="1:9" ht="12" customHeight="1">
      <c r="C169" s="431" t="s">
        <v>3030</v>
      </c>
      <c r="E169" s="4685"/>
      <c r="F169" s="4685"/>
      <c r="G169" s="4685"/>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14400</v>
      </c>
      <c r="F174" s="549" t="s">
        <v>2862</v>
      </c>
    </row>
    <row r="175" spans="1:9">
      <c r="E175" s="620">
        <f>E174/12</f>
        <v>1200</v>
      </c>
      <c r="F175" s="549" t="s">
        <v>2728</v>
      </c>
    </row>
    <row r="176" spans="1:9" ht="12" customHeight="1">
      <c r="C176" s="431" t="s">
        <v>3031</v>
      </c>
      <c r="E176" s="4685"/>
      <c r="F176" s="4685"/>
      <c r="G176" s="4685"/>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5"/>
      <c r="G181" s="4685"/>
      <c r="H181" s="4685"/>
      <c r="I181" s="4685"/>
      <c r="J181" s="4685"/>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73068</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93">
        <f>'Part VII-Threshold Criteria OLD'!E372</f>
        <v>0</v>
      </c>
      <c r="G199" s="4693"/>
      <c r="H199" s="4693"/>
      <c r="I199" s="4693"/>
      <c r="J199" s="4693"/>
    </row>
    <row r="200" spans="1:10" ht="9" customHeight="1">
      <c r="G200" s="549"/>
      <c r="H200" s="549"/>
      <c r="I200" s="549"/>
    </row>
    <row r="201" spans="1:10" ht="12" customHeight="1">
      <c r="A201" s="622" t="s">
        <v>2894</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5">
      <c r="A204" s="519" t="s">
        <v>4053</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4056</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23" t="str">
        <f>'Part I-Project Identification'!F26</f>
        <v>Pinecrest Village</v>
      </c>
      <c r="E3" s="4024"/>
      <c r="F3" s="4024"/>
      <c r="G3" s="4024"/>
      <c r="H3" s="4024"/>
      <c r="I3" s="4024"/>
      <c r="J3" s="4701" t="s">
        <v>3841</v>
      </c>
      <c r="K3" s="4702"/>
    </row>
    <row r="4" spans="1:11" ht="15" customHeight="1">
      <c r="A4" s="1269" t="s">
        <v>3839</v>
      </c>
      <c r="B4" s="1270"/>
      <c r="C4" s="1271"/>
      <c r="D4" s="4697">
        <f>'Preview term'!$E$16</f>
        <v>0</v>
      </c>
      <c r="E4" s="4698"/>
      <c r="F4" s="4698"/>
      <c r="G4" s="4698"/>
      <c r="H4" s="4698"/>
      <c r="I4" s="4698"/>
      <c r="J4" s="4029" t="s">
        <v>3880</v>
      </c>
      <c r="K4" s="4030"/>
    </row>
    <row r="5" spans="1:11" ht="15" customHeight="1" thickBot="1">
      <c r="A5" s="1272" t="s">
        <v>3840</v>
      </c>
      <c r="B5" s="1273"/>
      <c r="C5" s="1274"/>
      <c r="D5" s="4699"/>
      <c r="E5" s="4700"/>
      <c r="F5" s="4700"/>
      <c r="G5" s="4700"/>
      <c r="H5" s="4700"/>
      <c r="I5" s="4700"/>
      <c r="J5" s="4031"/>
      <c r="K5" s="4032"/>
    </row>
    <row r="6" spans="1:11" ht="9" customHeight="1" thickBot="1">
      <c r="E6" s="1264"/>
    </row>
    <row r="7" spans="1:11">
      <c r="A7" s="4017" t="s">
        <v>3842</v>
      </c>
      <c r="B7" s="4018"/>
      <c r="C7" s="4018"/>
      <c r="D7" s="4018"/>
      <c r="E7" s="4018"/>
      <c r="F7" s="4018"/>
      <c r="G7" s="4018"/>
      <c r="H7" s="4018"/>
      <c r="I7" s="4018"/>
      <c r="J7" s="4018"/>
      <c r="K7" s="4019"/>
    </row>
    <row r="8" spans="1:11" ht="14.25" customHeight="1">
      <c r="A8" s="1270"/>
      <c r="B8" s="1270"/>
      <c r="C8" s="1302">
        <v>1</v>
      </c>
      <c r="D8" s="1289" t="s">
        <v>3843</v>
      </c>
      <c r="E8" s="1289"/>
      <c r="F8" s="1289"/>
      <c r="G8" s="1289"/>
      <c r="H8" s="1289"/>
      <c r="I8" s="1289"/>
      <c r="J8" s="4724"/>
      <c r="K8" s="4725"/>
    </row>
    <row r="9" spans="1:11" ht="7.15" customHeight="1">
      <c r="A9" s="4039"/>
      <c r="B9" s="4039"/>
      <c r="C9" s="4039"/>
      <c r="D9" s="4040"/>
      <c r="E9" s="4040"/>
      <c r="F9" s="4040"/>
      <c r="G9" s="4040"/>
      <c r="H9" s="4040"/>
      <c r="I9" s="4040"/>
      <c r="J9" s="4040"/>
      <c r="K9" s="1290"/>
    </row>
    <row r="10" spans="1:11">
      <c r="A10" s="4041" t="s">
        <v>3844</v>
      </c>
      <c r="B10" s="4042"/>
      <c r="C10" s="4042"/>
      <c r="D10" s="4042"/>
      <c r="E10" s="4042"/>
      <c r="F10" s="4042"/>
      <c r="G10" s="4042"/>
      <c r="H10" s="4042"/>
      <c r="I10" s="4042"/>
      <c r="J10" s="4042"/>
      <c r="K10" s="4043"/>
    </row>
    <row r="11" spans="1:11" ht="14.25" customHeight="1">
      <c r="A11" s="1270"/>
      <c r="B11" s="1270"/>
      <c r="C11" s="1302">
        <v>2</v>
      </c>
      <c r="D11" s="1289" t="s">
        <v>3845</v>
      </c>
      <c r="E11" s="1291"/>
      <c r="F11" s="1291"/>
      <c r="G11" s="1291"/>
      <c r="H11" s="1291"/>
      <c r="I11" s="1291"/>
      <c r="J11" s="4722"/>
      <c r="K11" s="4723"/>
    </row>
    <row r="12" spans="1:11" ht="7.15" customHeight="1">
      <c r="A12" s="4039"/>
      <c r="B12" s="4039"/>
      <c r="C12" s="4039"/>
      <c r="D12" s="4040"/>
      <c r="E12" s="4040"/>
      <c r="F12" s="4040"/>
      <c r="G12" s="4040"/>
      <c r="H12" s="4040"/>
      <c r="I12" s="4040"/>
      <c r="J12" s="4040"/>
      <c r="K12" s="1292"/>
    </row>
    <row r="13" spans="1:11">
      <c r="A13" s="4041" t="s">
        <v>3846</v>
      </c>
      <c r="B13" s="4042"/>
      <c r="C13" s="4042"/>
      <c r="D13" s="4042"/>
      <c r="E13" s="4042"/>
      <c r="F13" s="4042"/>
      <c r="G13" s="4042"/>
      <c r="H13" s="4042"/>
      <c r="I13" s="4042"/>
      <c r="J13" s="4042"/>
      <c r="K13" s="4043"/>
    </row>
    <row r="14" spans="1:11" ht="14.25" customHeight="1">
      <c r="A14" s="1270"/>
      <c r="B14" s="1270"/>
      <c r="C14" s="1303">
        <v>3</v>
      </c>
      <c r="D14" s="1293" t="s">
        <v>3847</v>
      </c>
      <c r="E14" s="1293"/>
      <c r="F14" s="1293"/>
      <c r="G14" s="1293"/>
      <c r="H14" s="1293"/>
      <c r="I14" s="1293"/>
      <c r="J14" s="4720"/>
      <c r="K14" s="4721"/>
    </row>
    <row r="15" spans="1:11" ht="14.25" customHeight="1">
      <c r="A15" s="1270"/>
      <c r="B15" s="1270"/>
      <c r="C15" s="1304">
        <v>4</v>
      </c>
      <c r="D15" s="1270" t="s">
        <v>3848</v>
      </c>
      <c r="E15" s="1270"/>
      <c r="F15" s="1270"/>
      <c r="G15" s="1270"/>
      <c r="H15" s="1270"/>
      <c r="I15" s="1270"/>
      <c r="J15" s="4718"/>
      <c r="K15" s="4719"/>
    </row>
    <row r="16" spans="1:11" ht="14.25" customHeight="1">
      <c r="A16" s="1270"/>
      <c r="B16" s="1270"/>
      <c r="C16" s="1304">
        <v>5</v>
      </c>
      <c r="D16" s="1270" t="s">
        <v>3849</v>
      </c>
      <c r="E16" s="1270"/>
      <c r="F16" s="1270"/>
      <c r="G16" s="1270"/>
      <c r="H16" s="1270"/>
      <c r="I16" s="1270"/>
      <c r="J16" s="4718"/>
      <c r="K16" s="4719"/>
    </row>
    <row r="17" spans="1:13" ht="14.25" customHeight="1">
      <c r="A17" s="1270"/>
      <c r="B17" s="1270"/>
      <c r="C17" s="1305">
        <v>6</v>
      </c>
      <c r="D17" s="1273" t="s">
        <v>3850</v>
      </c>
      <c r="E17" s="1273"/>
      <c r="F17" s="1273"/>
      <c r="G17" s="1273"/>
      <c r="H17" s="1273"/>
      <c r="I17" s="1273"/>
      <c r="J17" s="4726"/>
      <c r="K17" s="4727"/>
    </row>
    <row r="18" spans="1:13" ht="7.15" customHeight="1">
      <c r="A18" s="4039"/>
      <c r="B18" s="4039"/>
      <c r="C18" s="4039"/>
      <c r="D18" s="4040"/>
      <c r="E18" s="4040"/>
      <c r="F18" s="4040"/>
      <c r="G18" s="4040"/>
      <c r="H18" s="4040"/>
      <c r="I18" s="4040"/>
      <c r="J18" s="4040"/>
      <c r="K18" s="1292"/>
    </row>
    <row r="19" spans="1:13" ht="14.25" customHeight="1">
      <c r="A19" s="1270"/>
      <c r="B19" s="1270"/>
      <c r="C19" s="1303">
        <v>7</v>
      </c>
      <c r="D19" s="1293" t="s">
        <v>3851</v>
      </c>
      <c r="E19" s="1293"/>
      <c r="F19" s="1293"/>
      <c r="G19" s="1293"/>
      <c r="H19" s="1293"/>
      <c r="I19" s="1293"/>
      <c r="J19" s="4035" t="str">
        <f>IF(J17="No",J14-J15,IF(J17="Yes",J14-J15-J16,"Error"))</f>
        <v>Error</v>
      </c>
      <c r="K19" s="4036"/>
    </row>
    <row r="20" spans="1:13" ht="14.25" customHeight="1">
      <c r="A20" s="1270"/>
      <c r="B20" s="1270"/>
      <c r="C20" s="1305">
        <v>8</v>
      </c>
      <c r="D20" s="1273" t="s">
        <v>3852</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302">
        <v>9</v>
      </c>
      <c r="D22" s="1294" t="s">
        <v>3853</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3884</v>
      </c>
      <c r="B30" s="4057"/>
      <c r="C30" s="4057"/>
      <c r="D30" s="4057"/>
      <c r="E30" s="4057"/>
      <c r="F30" s="4057"/>
      <c r="G30" s="4057"/>
      <c r="H30" s="4057"/>
      <c r="I30" s="4057"/>
      <c r="J30" s="4057"/>
      <c r="K30" s="4058"/>
    </row>
    <row r="31" spans="1:13">
      <c r="B31" s="4713" t="s">
        <v>3841</v>
      </c>
      <c r="C31" s="4713"/>
      <c r="D31" s="4713"/>
      <c r="E31" s="4713"/>
      <c r="F31" s="4713"/>
      <c r="G31" s="4060" t="s">
        <v>3855</v>
      </c>
      <c r="H31" s="4061"/>
      <c r="I31" s="4061"/>
      <c r="J31" s="4061"/>
      <c r="K31" s="4062"/>
    </row>
    <row r="32" spans="1:13" ht="56.25" customHeight="1">
      <c r="A32" s="1288"/>
      <c r="B32" s="1306" t="s">
        <v>3883</v>
      </c>
      <c r="C32" s="1307" t="s">
        <v>3879</v>
      </c>
      <c r="D32" s="1307" t="s">
        <v>3878</v>
      </c>
      <c r="E32" s="4063" t="s">
        <v>3999</v>
      </c>
      <c r="F32" s="4064"/>
      <c r="G32" s="1308" t="s">
        <v>3856</v>
      </c>
      <c r="H32" s="1308" t="s">
        <v>3857</v>
      </c>
      <c r="J32" s="1308" t="s">
        <v>3858</v>
      </c>
      <c r="K32" s="1308" t="s">
        <v>3859</v>
      </c>
      <c r="L32" s="4065" t="s">
        <v>3860</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3861</v>
      </c>
      <c r="H52" s="1309" t="e">
        <f>SUM(H33:H51)</f>
        <v>#VALUE!</v>
      </c>
      <c r="I52" s="1293"/>
      <c r="J52" s="1299" t="s">
        <v>3862</v>
      </c>
      <c r="K52" s="1295" t="e">
        <f>SUM(K33:K51)</f>
        <v>#VALUE!</v>
      </c>
      <c r="L52" s="4065"/>
      <c r="M52" s="4065"/>
    </row>
    <row r="53" spans="1:13" ht="15" customHeight="1">
      <c r="B53" s="1300"/>
      <c r="C53" s="4070" t="s">
        <v>3863</v>
      </c>
      <c r="D53" s="4070"/>
      <c r="E53" s="4070"/>
      <c r="F53" s="4070"/>
      <c r="G53" s="4070"/>
      <c r="H53" s="4070"/>
      <c r="I53" s="4070"/>
      <c r="J53" s="4071"/>
      <c r="K53" s="1301" t="str">
        <f>IF(J17="no",0,IF(J17="yes",J16,"Error"))</f>
        <v>Error</v>
      </c>
      <c r="L53" s="4065"/>
      <c r="M53" s="4065"/>
    </row>
    <row r="54" spans="1:13" ht="15" customHeight="1" thickBot="1">
      <c r="B54" s="1300"/>
      <c r="C54" s="4074" t="s">
        <v>3864</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3865</v>
      </c>
      <c r="B56" s="4079"/>
      <c r="C56" s="4079"/>
      <c r="D56" s="4079"/>
      <c r="E56" s="4079"/>
      <c r="F56" s="4079"/>
      <c r="G56" s="4079"/>
      <c r="H56" s="4079"/>
      <c r="I56" s="4079"/>
      <c r="J56" s="4079"/>
      <c r="K56" s="4080"/>
    </row>
    <row r="57" spans="1:13" ht="48" customHeight="1">
      <c r="A57" s="1285"/>
      <c r="B57" s="1276"/>
      <c r="C57" s="1287" t="s">
        <v>3866</v>
      </c>
      <c r="D57" s="1398" t="s">
        <v>3964</v>
      </c>
      <c r="E57" s="4081" t="s">
        <v>3882</v>
      </c>
      <c r="F57" s="4082"/>
      <c r="G57" s="4709" t="s">
        <v>3867</v>
      </c>
      <c r="H57" s="4710"/>
      <c r="I57" s="4081" t="s">
        <v>3881</v>
      </c>
      <c r="J57" s="4082"/>
      <c r="K57" s="4085"/>
    </row>
    <row r="58" spans="1:13" ht="15" customHeight="1">
      <c r="A58" s="1388"/>
      <c r="B58" s="1318"/>
      <c r="C58" s="1296">
        <f>SUMIF(C33:C51, "0", H33:H51)</f>
        <v>0</v>
      </c>
      <c r="D58" s="1399">
        <f t="shared" ref="D58:D63" si="4">ROUNDUP(C58*1.1,0)</f>
        <v>0</v>
      </c>
      <c r="E58" s="4087" t="s">
        <v>3868</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2455</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2456</v>
      </c>
      <c r="F60" s="4093"/>
      <c r="G60" s="4703" t="e">
        <f>#REF!</f>
        <v>#REF!</v>
      </c>
      <c r="H60" s="4704"/>
      <c r="I60" s="4094" t="e">
        <f t="shared" si="5"/>
        <v>#REF!</v>
      </c>
      <c r="J60" s="4094"/>
      <c r="K60" s="4086"/>
    </row>
    <row r="61" spans="1:13">
      <c r="A61" s="1388"/>
      <c r="B61" s="1318"/>
      <c r="C61" s="1297">
        <f>SUMIF(C33:C51, "3", H33:H51)</f>
        <v>0</v>
      </c>
      <c r="D61" s="1400">
        <f t="shared" si="4"/>
        <v>0</v>
      </c>
      <c r="E61" s="4092" t="s">
        <v>2459</v>
      </c>
      <c r="F61" s="4093"/>
      <c r="G61" s="4703" t="e">
        <f>#REF!</f>
        <v>#REF!</v>
      </c>
      <c r="H61" s="4704"/>
      <c r="I61" s="4094" t="e">
        <f t="shared" si="5"/>
        <v>#REF!</v>
      </c>
      <c r="J61" s="4094"/>
      <c r="K61" s="4086"/>
    </row>
    <row r="62" spans="1:13">
      <c r="A62" s="1388"/>
      <c r="B62" s="1318"/>
      <c r="C62" s="1297">
        <f>SUMIF(C33:C51, "4", H33:H51)</f>
        <v>0</v>
      </c>
      <c r="D62" s="1400">
        <f t="shared" si="4"/>
        <v>0</v>
      </c>
      <c r="E62" s="4092" t="s">
        <v>3869</v>
      </c>
      <c r="F62" s="4093"/>
      <c r="G62" s="4703" t="e">
        <f>#REF!</f>
        <v>#REF!</v>
      </c>
      <c r="H62" s="4704"/>
      <c r="I62" s="4094" t="e">
        <f t="shared" si="5"/>
        <v>#REF!</v>
      </c>
      <c r="J62" s="4094"/>
      <c r="K62" s="4086"/>
    </row>
    <row r="63" spans="1:13">
      <c r="A63" s="1397"/>
      <c r="B63" s="1319"/>
      <c r="C63" s="1298">
        <f>SUMIF(C33:C51, "5", H33:H51)</f>
        <v>0</v>
      </c>
      <c r="D63" s="1401">
        <f t="shared" si="4"/>
        <v>0</v>
      </c>
      <c r="E63" s="4096" t="s">
        <v>3870</v>
      </c>
      <c r="F63" s="4097"/>
      <c r="G63" s="4714" t="e">
        <f>#REF!</f>
        <v>#REF!</v>
      </c>
      <c r="H63" s="4715"/>
      <c r="I63" s="4098" t="e">
        <f t="shared" si="5"/>
        <v>#REF!</v>
      </c>
      <c r="J63" s="4098"/>
      <c r="K63" s="1321"/>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77"/>
      <c r="B65" s="4077"/>
      <c r="C65" s="4077"/>
      <c r="D65" s="4077"/>
      <c r="E65" s="4077"/>
      <c r="F65" s="4077"/>
      <c r="G65" s="4077"/>
      <c r="H65" s="4077"/>
      <c r="I65" s="4077"/>
      <c r="J65" s="4077"/>
    </row>
    <row r="66" spans="1:11">
      <c r="A66" s="4078" t="s">
        <v>3873</v>
      </c>
      <c r="B66" s="4079"/>
      <c r="C66" s="4079"/>
      <c r="D66" s="4079"/>
      <c r="E66" s="4079"/>
      <c r="F66" s="4079"/>
      <c r="G66" s="4079"/>
      <c r="H66" s="4079"/>
      <c r="I66" s="4079"/>
      <c r="J66" s="4079"/>
      <c r="K66" s="4080"/>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95" t="s">
        <v>3877</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Pinecrest Village</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32157.539999999997</v>
      </c>
      <c r="K4" s="990" t="s">
        <v>3542</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0" t="s">
        <v>2908</v>
      </c>
      <c r="C11" s="4730"/>
      <c r="D11" s="4730"/>
      <c r="E11" s="4730"/>
      <c r="F11" s="4730"/>
      <c r="G11" s="4731">
        <f>'Part II-Sources of Funds'!I51+'Part II-Sources of Funds'!I52</f>
        <v>14736476</v>
      </c>
      <c r="H11" s="4731"/>
    </row>
    <row r="12" spans="1:11" ht="1.5" customHeight="1">
      <c r="G12" s="605"/>
      <c r="H12" s="605"/>
    </row>
    <row r="13" spans="1:11" ht="26.25" customHeight="1">
      <c r="A13" s="624" t="s">
        <v>1838</v>
      </c>
      <c r="B13" s="4730" t="s">
        <v>2909</v>
      </c>
      <c r="C13" s="4730"/>
      <c r="D13" s="4730"/>
      <c r="E13" s="4730"/>
      <c r="F13" s="4730"/>
      <c r="G13" s="4732" t="s">
        <v>2804</v>
      </c>
      <c r="H13" s="4732"/>
    </row>
    <row r="14" spans="1:11" ht="12" hidden="1" customHeight="1">
      <c r="A14" s="624"/>
      <c r="B14" s="4696"/>
      <c r="C14" s="4696"/>
      <c r="D14" s="4696"/>
      <c r="E14" s="4696"/>
      <c r="F14" s="4696"/>
      <c r="G14" s="4696"/>
      <c r="H14" s="4696"/>
    </row>
    <row r="15" spans="1:11" ht="1.5" customHeight="1"/>
    <row r="16" spans="1:11" ht="12" customHeight="1">
      <c r="A16" s="624" t="s">
        <v>697</v>
      </c>
      <c r="B16" s="431" t="s">
        <v>2912</v>
      </c>
      <c r="G16" s="4733" t="s">
        <v>2644</v>
      </c>
      <c r="H16" s="4733"/>
    </row>
    <row r="17" spans="1:8" ht="1.5" customHeight="1">
      <c r="G17" s="608"/>
    </row>
    <row r="18" spans="1:8" ht="12" customHeight="1">
      <c r="A18" s="624" t="s">
        <v>1957</v>
      </c>
      <c r="B18" s="605" t="s">
        <v>2910</v>
      </c>
      <c r="C18" s="624"/>
      <c r="D18" s="624"/>
      <c r="E18" s="624"/>
      <c r="G18" s="4696" t="s">
        <v>2507</v>
      </c>
      <c r="H18" s="4696"/>
    </row>
    <row r="19" spans="1:8" ht="12" hidden="1" customHeight="1">
      <c r="B19" s="4696"/>
      <c r="C19" s="4696"/>
      <c r="D19" s="4696"/>
      <c r="E19" s="4696"/>
      <c r="F19" s="4696"/>
      <c r="G19" s="4696"/>
      <c r="H19" s="4696"/>
    </row>
    <row r="20" spans="1:8" ht="13.5" customHeight="1"/>
    <row r="21" spans="1:8" ht="12" customHeight="1">
      <c r="A21" s="549" t="s">
        <v>2877</v>
      </c>
    </row>
    <row r="22" spans="1:8" ht="3" customHeight="1"/>
    <row r="23" spans="1:8" ht="24.75" customHeight="1">
      <c r="A23" s="4734" t="s">
        <v>3949</v>
      </c>
      <c r="B23" s="4734"/>
      <c r="C23" s="4734"/>
      <c r="D23" s="4734"/>
      <c r="E23" s="4734"/>
      <c r="F23" s="4734"/>
      <c r="G23" s="4734"/>
      <c r="H23" s="4734"/>
    </row>
    <row r="24" spans="1:8" ht="9" customHeight="1" thickBot="1">
      <c r="A24" s="600"/>
    </row>
    <row r="25" spans="1:8" ht="16.149999999999999" customHeight="1" thickBot="1">
      <c r="A25" s="4735">
        <v>20</v>
      </c>
      <c r="B25" s="4736"/>
      <c r="C25" s="1387" t="s">
        <v>974</v>
      </c>
    </row>
    <row r="26" spans="1:8" ht="9" customHeight="1">
      <c r="A26" s="600"/>
    </row>
    <row r="27" spans="1:8" ht="28.15" customHeight="1">
      <c r="A27" s="4728" t="s">
        <v>3954</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3947</v>
      </c>
      <c r="D29" s="626" t="s">
        <v>3948</v>
      </c>
    </row>
    <row r="30" spans="1:8" ht="1.9"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3952</v>
      </c>
      <c r="E33" s="4728" t="s">
        <v>3036</v>
      </c>
      <c r="F33" s="4728"/>
      <c r="G33" s="4728"/>
      <c r="H33" s="4728"/>
    </row>
    <row r="34" spans="1:11" ht="12.75" customHeight="1">
      <c r="C34" s="1386"/>
      <c r="D34" s="1384" t="s">
        <v>2917</v>
      </c>
      <c r="E34" s="4729" t="s">
        <v>3037</v>
      </c>
      <c r="F34" s="4729"/>
      <c r="G34" s="4729"/>
      <c r="H34" s="4729"/>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3952</v>
      </c>
      <c r="E38" s="4728" t="s">
        <v>3036</v>
      </c>
      <c r="F38" s="4728"/>
      <c r="G38" s="4728"/>
      <c r="H38" s="4728"/>
    </row>
    <row r="39" spans="1:11" ht="12.75" customHeight="1">
      <c r="C39" s="1386"/>
      <c r="D39" s="1384" t="s">
        <v>2917</v>
      </c>
      <c r="E39" s="4729" t="s">
        <v>3037</v>
      </c>
      <c r="F39" s="4729"/>
      <c r="G39" s="4729"/>
      <c r="H39" s="4729"/>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3952</v>
      </c>
      <c r="E43" s="4728" t="s">
        <v>3036</v>
      </c>
      <c r="F43" s="4728"/>
      <c r="G43" s="4728"/>
      <c r="H43" s="4728"/>
    </row>
    <row r="44" spans="1:11" ht="12.75" customHeight="1">
      <c r="C44" s="1386"/>
      <c r="D44" s="1384" t="s">
        <v>2917</v>
      </c>
      <c r="E44" s="4729" t="s">
        <v>3037</v>
      </c>
      <c r="F44" s="4729"/>
      <c r="G44" s="4729"/>
      <c r="H44" s="4729"/>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3952</v>
      </c>
      <c r="E50" s="4728" t="s">
        <v>3036</v>
      </c>
      <c r="F50" s="4728"/>
      <c r="G50" s="4728"/>
      <c r="H50" s="4728"/>
    </row>
    <row r="51" spans="1:11" ht="12.75" customHeight="1">
      <c r="C51" s="1386"/>
      <c r="D51" s="630" t="s">
        <v>2917</v>
      </c>
      <c r="E51" s="4728" t="s">
        <v>3037</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3952</v>
      </c>
      <c r="E55" s="4728" t="s">
        <v>3036</v>
      </c>
      <c r="F55" s="4728"/>
      <c r="G55" s="4728"/>
      <c r="H55" s="4728"/>
    </row>
    <row r="56" spans="1:11" ht="12.75" customHeight="1">
      <c r="C56" s="1386"/>
      <c r="D56" s="1384" t="s">
        <v>2917</v>
      </c>
      <c r="E56" s="4729" t="s">
        <v>3037</v>
      </c>
      <c r="F56" s="4729"/>
      <c r="G56" s="4729"/>
      <c r="H56" s="4729"/>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3952</v>
      </c>
      <c r="E60" s="4728" t="s">
        <v>3036</v>
      </c>
      <c r="F60" s="4728"/>
      <c r="G60" s="4728"/>
      <c r="H60" s="4728"/>
    </row>
    <row r="61" spans="1:11" ht="12.75" customHeight="1">
      <c r="C61" s="1386"/>
      <c r="D61" s="1384" t="s">
        <v>2917</v>
      </c>
      <c r="E61" s="4729" t="s">
        <v>3037</v>
      </c>
      <c r="F61" s="4729"/>
      <c r="G61" s="4729"/>
      <c r="H61" s="4729"/>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3952</v>
      </c>
      <c r="E67" s="4728" t="s">
        <v>3036</v>
      </c>
      <c r="F67" s="4728"/>
      <c r="G67" s="4728"/>
      <c r="H67" s="4728"/>
    </row>
    <row r="68" spans="1:8" ht="12.75" customHeight="1">
      <c r="C68" s="1386"/>
      <c r="D68" s="630" t="s">
        <v>2917</v>
      </c>
      <c r="E68" s="4728" t="s">
        <v>3037</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3952</v>
      </c>
      <c r="E72" s="4728" t="s">
        <v>3036</v>
      </c>
      <c r="F72" s="4728"/>
      <c r="G72" s="4728"/>
      <c r="H72" s="4728"/>
    </row>
    <row r="73" spans="1:8" ht="12.75" customHeight="1">
      <c r="C73" s="1386"/>
      <c r="D73" s="1384" t="s">
        <v>2917</v>
      </c>
      <c r="E73" s="4729" t="s">
        <v>3037</v>
      </c>
      <c r="F73" s="4729"/>
      <c r="G73" s="4729"/>
      <c r="H73" s="4729"/>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3952</v>
      </c>
      <c r="E77" s="4728" t="s">
        <v>3036</v>
      </c>
      <c r="F77" s="4728"/>
      <c r="G77" s="4728"/>
      <c r="H77" s="4728"/>
    </row>
    <row r="78" spans="1:8" ht="12.75" customHeight="1">
      <c r="C78" s="1386"/>
      <c r="D78" s="1384" t="s">
        <v>2917</v>
      </c>
      <c r="E78" s="4729" t="s">
        <v>3037</v>
      </c>
      <c r="F78" s="4729"/>
      <c r="G78" s="4729"/>
      <c r="H78" s="4729"/>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3952</v>
      </c>
      <c r="E84" s="4728" t="s">
        <v>3036</v>
      </c>
      <c r="F84" s="4728"/>
      <c r="G84" s="4728"/>
      <c r="H84" s="4728"/>
    </row>
    <row r="85" spans="3:8" ht="12.75" customHeight="1">
      <c r="C85" s="1386"/>
      <c r="D85" s="630" t="s">
        <v>2917</v>
      </c>
      <c r="E85" s="4728" t="s">
        <v>3037</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3952</v>
      </c>
      <c r="E89" s="4728" t="s">
        <v>3036</v>
      </c>
      <c r="F89" s="4728"/>
      <c r="G89" s="4728"/>
      <c r="H89" s="4728"/>
    </row>
    <row r="90" spans="3:8" ht="12.75" customHeight="1">
      <c r="C90" s="1386"/>
      <c r="D90" s="1384" t="s">
        <v>2917</v>
      </c>
      <c r="E90" s="4729" t="s">
        <v>3037</v>
      </c>
      <c r="F90" s="4729"/>
      <c r="G90" s="4729"/>
      <c r="H90" s="4729"/>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3952</v>
      </c>
      <c r="E94" s="4728" t="s">
        <v>3036</v>
      </c>
      <c r="F94" s="4728"/>
      <c r="G94" s="4728"/>
      <c r="H94" s="4728"/>
    </row>
    <row r="95" spans="3:8" ht="12.75" customHeight="1">
      <c r="C95" s="1386"/>
      <c r="D95" s="1384" t="s">
        <v>2917</v>
      </c>
      <c r="E95" s="4729" t="s">
        <v>3037</v>
      </c>
      <c r="F95" s="4729"/>
      <c r="G95" s="4729"/>
      <c r="H95" s="4729"/>
    </row>
    <row r="96" spans="3:8" ht="6" customHeight="1">
      <c r="D96" s="627"/>
      <c r="E96" s="1004"/>
      <c r="F96" s="1004"/>
      <c r="G96" s="1004"/>
      <c r="H96" s="1004"/>
    </row>
    <row r="97" spans="1:11">
      <c r="A97" s="608" t="s">
        <v>2913</v>
      </c>
      <c r="B97" s="625" t="str">
        <f>IF('Part V-Revenues &amp; Expenses'!$O$62=0,"",'Part V-Revenues &amp; Expenses'!$O$62)</f>
        <v/>
      </c>
      <c r="C97" s="608" t="s">
        <v>3950</v>
      </c>
      <c r="D97" s="626" t="s">
        <v>3951</v>
      </c>
    </row>
    <row r="98" spans="1:11" ht="1.9"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3036</v>
      </c>
      <c r="F101" s="4728"/>
      <c r="G101" s="4728"/>
      <c r="H101" s="4728"/>
    </row>
    <row r="102" spans="1:11" ht="12.75" customHeight="1">
      <c r="D102" s="630" t="s">
        <v>2917</v>
      </c>
      <c r="E102" s="4728" t="s">
        <v>3037</v>
      </c>
      <c r="F102" s="4728"/>
      <c r="G102" s="4728"/>
      <c r="H102" s="4728"/>
    </row>
    <row r="103" spans="1:11" ht="9" customHeight="1" thickBot="1"/>
    <row r="104" spans="1:11" ht="16.149999999999999" customHeight="1" thickBot="1">
      <c r="A104" s="4735">
        <v>30</v>
      </c>
      <c r="B104" s="4736"/>
      <c r="C104" s="1387" t="s">
        <v>974</v>
      </c>
    </row>
    <row r="105" spans="1:11" ht="9" customHeight="1">
      <c r="A105" s="600"/>
    </row>
    <row r="106" spans="1:11" ht="28.15" customHeight="1">
      <c r="A106" s="4728" t="s">
        <v>3955</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3947</v>
      </c>
      <c r="D108" s="626" t="s">
        <v>3948</v>
      </c>
    </row>
    <row r="109" spans="1:11" ht="1.9"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3952</v>
      </c>
      <c r="E112" s="4728" t="s">
        <v>3036</v>
      </c>
      <c r="F112" s="4728"/>
      <c r="G112" s="4728"/>
      <c r="H112" s="4728"/>
    </row>
    <row r="113" spans="1:8" ht="12.75" customHeight="1">
      <c r="C113" s="1386"/>
      <c r="D113" s="1384" t="s">
        <v>2917</v>
      </c>
      <c r="E113" s="4729" t="s">
        <v>3037</v>
      </c>
      <c r="F113" s="4729"/>
      <c r="G113" s="4729"/>
      <c r="H113" s="4729"/>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3952</v>
      </c>
      <c r="E117" s="4728" t="s">
        <v>3036</v>
      </c>
      <c r="F117" s="4728"/>
      <c r="G117" s="4728"/>
      <c r="H117" s="4728"/>
    </row>
    <row r="118" spans="1:8" ht="12.75" customHeight="1">
      <c r="C118" s="1386"/>
      <c r="D118" s="1384" t="s">
        <v>2917</v>
      </c>
      <c r="E118" s="4729" t="s">
        <v>3037</v>
      </c>
      <c r="F118" s="4729"/>
      <c r="G118" s="4729"/>
      <c r="H118" s="4729"/>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3952</v>
      </c>
      <c r="E122" s="4728" t="s">
        <v>3036</v>
      </c>
      <c r="F122" s="4728"/>
      <c r="G122" s="4728"/>
      <c r="H122" s="4728"/>
    </row>
    <row r="123" spans="1:8" ht="12.75" customHeight="1">
      <c r="C123" s="1386"/>
      <c r="D123" s="1384" t="s">
        <v>2917</v>
      </c>
      <c r="E123" s="4729" t="s">
        <v>3037</v>
      </c>
      <c r="F123" s="4729"/>
      <c r="G123" s="4729"/>
      <c r="H123" s="4729"/>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3038</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3952</v>
      </c>
      <c r="E129" s="4728" t="s">
        <v>3036</v>
      </c>
      <c r="F129" s="4728"/>
      <c r="G129" s="4728"/>
      <c r="H129" s="4728"/>
    </row>
    <row r="130" spans="1:8" ht="12.75" customHeight="1">
      <c r="C130" s="1386"/>
      <c r="D130" s="630" t="s">
        <v>2917</v>
      </c>
      <c r="E130" s="4728" t="s">
        <v>3037</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3952</v>
      </c>
      <c r="E134" s="4728" t="s">
        <v>3036</v>
      </c>
      <c r="F134" s="4728"/>
      <c r="G134" s="4728"/>
      <c r="H134" s="4728"/>
    </row>
    <row r="135" spans="1:8" ht="12.75" customHeight="1">
      <c r="C135" s="1386"/>
      <c r="D135" s="1384" t="s">
        <v>2917</v>
      </c>
      <c r="E135" s="4729" t="s">
        <v>3037</v>
      </c>
      <c r="F135" s="4729"/>
      <c r="G135" s="4729"/>
      <c r="H135" s="4729"/>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3952</v>
      </c>
      <c r="E139" s="4728" t="s">
        <v>3036</v>
      </c>
      <c r="F139" s="4728"/>
      <c r="G139" s="4728"/>
      <c r="H139" s="4728"/>
    </row>
    <row r="140" spans="1:8" ht="12.75" customHeight="1">
      <c r="C140" s="1386"/>
      <c r="D140" s="1384" t="s">
        <v>2917</v>
      </c>
      <c r="E140" s="4729" t="s">
        <v>3037</v>
      </c>
      <c r="F140" s="4729"/>
      <c r="G140" s="4729"/>
      <c r="H140" s="4729"/>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3039</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3952</v>
      </c>
      <c r="E146" s="4728" t="s">
        <v>3036</v>
      </c>
      <c r="F146" s="4728"/>
      <c r="G146" s="4728"/>
      <c r="H146" s="4728"/>
    </row>
    <row r="147" spans="1:8" ht="12.75" customHeight="1">
      <c r="C147" s="1386"/>
      <c r="D147" s="630" t="s">
        <v>2917</v>
      </c>
      <c r="E147" s="4728" t="s">
        <v>3037</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3952</v>
      </c>
      <c r="E151" s="4728" t="s">
        <v>3036</v>
      </c>
      <c r="F151" s="4728"/>
      <c r="G151" s="4728"/>
      <c r="H151" s="4728"/>
    </row>
    <row r="152" spans="1:8" ht="12.75" customHeight="1">
      <c r="C152" s="1386"/>
      <c r="D152" s="1384" t="s">
        <v>2917</v>
      </c>
      <c r="E152" s="4729" t="s">
        <v>3037</v>
      </c>
      <c r="F152" s="4729"/>
      <c r="G152" s="4729"/>
      <c r="H152" s="4729"/>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3952</v>
      </c>
      <c r="E156" s="4728" t="s">
        <v>3036</v>
      </c>
      <c r="F156" s="4728"/>
      <c r="G156" s="4728"/>
      <c r="H156" s="4728"/>
    </row>
    <row r="157" spans="1:8" ht="12.75" customHeight="1">
      <c r="C157" s="1386"/>
      <c r="D157" s="1384" t="s">
        <v>2917</v>
      </c>
      <c r="E157" s="4729" t="s">
        <v>3037</v>
      </c>
      <c r="F157" s="4729"/>
      <c r="G157" s="4729"/>
      <c r="H157" s="4729"/>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3952</v>
      </c>
      <c r="E163" s="4728" t="s">
        <v>3036</v>
      </c>
      <c r="F163" s="4728"/>
      <c r="G163" s="4728"/>
      <c r="H163" s="4728"/>
    </row>
    <row r="164" spans="1:8" ht="12.75" customHeight="1">
      <c r="C164" s="1386"/>
      <c r="D164" s="630" t="s">
        <v>2917</v>
      </c>
      <c r="E164" s="4728" t="s">
        <v>3037</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3952</v>
      </c>
      <c r="E168" s="4728" t="s">
        <v>3036</v>
      </c>
      <c r="F168" s="4728"/>
      <c r="G168" s="4728"/>
      <c r="H168" s="4728"/>
    </row>
    <row r="169" spans="1:8" ht="12.75" customHeight="1">
      <c r="C169" s="1386"/>
      <c r="D169" s="1384" t="s">
        <v>2917</v>
      </c>
      <c r="E169" s="4729" t="s">
        <v>3037</v>
      </c>
      <c r="F169" s="4729"/>
      <c r="G169" s="4729"/>
      <c r="H169" s="4729"/>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3952</v>
      </c>
      <c r="E173" s="4728" t="s">
        <v>3036</v>
      </c>
      <c r="F173" s="4728"/>
      <c r="G173" s="4728"/>
      <c r="H173" s="4728"/>
    </row>
    <row r="174" spans="1:8" ht="12.75" customHeight="1">
      <c r="C174" s="1386"/>
      <c r="D174" s="1384" t="s">
        <v>2917</v>
      </c>
      <c r="E174" s="4729" t="s">
        <v>3037</v>
      </c>
      <c r="F174" s="4729"/>
      <c r="G174" s="4729"/>
      <c r="H174" s="4729"/>
    </row>
    <row r="175" spans="1:8" ht="6" customHeight="1">
      <c r="D175" s="627"/>
      <c r="E175" s="1004"/>
      <c r="F175" s="1004"/>
      <c r="G175" s="1004"/>
      <c r="H175" s="1004"/>
    </row>
    <row r="176" spans="1:8">
      <c r="A176" s="608" t="s">
        <v>2913</v>
      </c>
      <c r="B176" s="625" t="str">
        <f>IF('Part V-Revenues &amp; Expenses'!$O61=0,"",'Part V-Revenues &amp; Expenses'!$O$61)</f>
        <v/>
      </c>
      <c r="C176" s="608" t="s">
        <v>3950</v>
      </c>
      <c r="D176" s="626" t="s">
        <v>3951</v>
      </c>
    </row>
    <row r="177" spans="1:11" ht="1.9"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3036</v>
      </c>
      <c r="F180" s="4728"/>
      <c r="G180" s="4728"/>
      <c r="H180" s="4728"/>
    </row>
    <row r="181" spans="1:11" ht="12.75" customHeight="1">
      <c r="D181" s="630" t="s">
        <v>2917</v>
      </c>
      <c r="E181" s="4728" t="s">
        <v>3037</v>
      </c>
      <c r="F181" s="4728"/>
      <c r="G181" s="4728"/>
      <c r="H181" s="4728"/>
    </row>
    <row r="182" spans="1:11" ht="9" customHeight="1" thickBot="1"/>
    <row r="183" spans="1:11" ht="16.149999999999999" customHeight="1" thickBot="1">
      <c r="A183" s="4735">
        <v>40</v>
      </c>
      <c r="B183" s="4736"/>
      <c r="C183" s="1387" t="s">
        <v>974</v>
      </c>
    </row>
    <row r="184" spans="1:11" ht="9" customHeight="1">
      <c r="A184" s="600"/>
    </row>
    <row r="185" spans="1:11" ht="28.15" customHeight="1">
      <c r="A185" s="4728" t="s">
        <v>3956</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3947</v>
      </c>
      <c r="D187" s="626" t="s">
        <v>3948</v>
      </c>
    </row>
    <row r="188" spans="1:11" ht="1.9"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3952</v>
      </c>
      <c r="E191" s="4728" t="s">
        <v>3036</v>
      </c>
      <c r="F191" s="4728"/>
      <c r="G191" s="4728"/>
      <c r="H191" s="4728"/>
    </row>
    <row r="192" spans="1:11" ht="12.75" customHeight="1">
      <c r="C192" s="1386"/>
      <c r="D192" s="1384" t="s">
        <v>2917</v>
      </c>
      <c r="E192" s="4729" t="s">
        <v>3037</v>
      </c>
      <c r="F192" s="4729"/>
      <c r="G192" s="4729"/>
      <c r="H192" s="4729"/>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3952</v>
      </c>
      <c r="E196" s="4728" t="s">
        <v>3036</v>
      </c>
      <c r="F196" s="4728"/>
      <c r="G196" s="4728"/>
      <c r="H196" s="4728"/>
    </row>
    <row r="197" spans="1:8" ht="12.75" customHeight="1">
      <c r="C197" s="1386"/>
      <c r="D197" s="1384" t="s">
        <v>2917</v>
      </c>
      <c r="E197" s="4729" t="s">
        <v>3037</v>
      </c>
      <c r="F197" s="4729"/>
      <c r="G197" s="4729"/>
      <c r="H197" s="4729"/>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3952</v>
      </c>
      <c r="E201" s="4728" t="s">
        <v>3036</v>
      </c>
      <c r="F201" s="4728"/>
      <c r="G201" s="4728"/>
      <c r="H201" s="4728"/>
    </row>
    <row r="202" spans="1:8" ht="12.75" customHeight="1">
      <c r="C202" s="1386"/>
      <c r="D202" s="1384" t="s">
        <v>2917</v>
      </c>
      <c r="E202" s="4729" t="s">
        <v>3037</v>
      </c>
      <c r="F202" s="4729"/>
      <c r="G202" s="4729"/>
      <c r="H202" s="4729"/>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3952</v>
      </c>
      <c r="E208" s="4728" t="s">
        <v>3036</v>
      </c>
      <c r="F208" s="4728"/>
      <c r="G208" s="4728"/>
      <c r="H208" s="4728"/>
    </row>
    <row r="209" spans="1:8" ht="12.75" customHeight="1">
      <c r="C209" s="1386"/>
      <c r="D209" s="630" t="s">
        <v>2917</v>
      </c>
      <c r="E209" s="4728" t="s">
        <v>3037</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3952</v>
      </c>
      <c r="E213" s="4728" t="s">
        <v>3036</v>
      </c>
      <c r="F213" s="4728"/>
      <c r="G213" s="4728"/>
      <c r="H213" s="4728"/>
    </row>
    <row r="214" spans="1:8" ht="12.75" customHeight="1">
      <c r="C214" s="1386"/>
      <c r="D214" s="1384" t="s">
        <v>2917</v>
      </c>
      <c r="E214" s="4729" t="s">
        <v>3037</v>
      </c>
      <c r="F214" s="4729"/>
      <c r="G214" s="4729"/>
      <c r="H214" s="4729"/>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3952</v>
      </c>
      <c r="E218" s="4728" t="s">
        <v>3036</v>
      </c>
      <c r="F218" s="4728"/>
      <c r="G218" s="4728"/>
      <c r="H218" s="4728"/>
    </row>
    <row r="219" spans="1:8" ht="12.75" customHeight="1">
      <c r="C219" s="1386"/>
      <c r="D219" s="1384" t="s">
        <v>2917</v>
      </c>
      <c r="E219" s="4729" t="s">
        <v>3037</v>
      </c>
      <c r="F219" s="4729"/>
      <c r="G219" s="4729"/>
      <c r="H219" s="4729"/>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3952</v>
      </c>
      <c r="E225" s="4728" t="s">
        <v>3036</v>
      </c>
      <c r="F225" s="4728"/>
      <c r="G225" s="4728"/>
      <c r="H225" s="4728"/>
    </row>
    <row r="226" spans="1:8" ht="12.75" customHeight="1">
      <c r="C226" s="1386"/>
      <c r="D226" s="630" t="s">
        <v>2917</v>
      </c>
      <c r="E226" s="4728" t="s">
        <v>3037</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3952</v>
      </c>
      <c r="E230" s="4728" t="s">
        <v>3036</v>
      </c>
      <c r="F230" s="4728"/>
      <c r="G230" s="4728"/>
      <c r="H230" s="4728"/>
    </row>
    <row r="231" spans="1:8" ht="12.75" customHeight="1">
      <c r="C231" s="1386"/>
      <c r="D231" s="1384" t="s">
        <v>2917</v>
      </c>
      <c r="E231" s="4729" t="s">
        <v>3037</v>
      </c>
      <c r="F231" s="4729"/>
      <c r="G231" s="4729"/>
      <c r="H231" s="4729"/>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3952</v>
      </c>
      <c r="E235" s="4728" t="s">
        <v>3036</v>
      </c>
      <c r="F235" s="4728"/>
      <c r="G235" s="4728"/>
      <c r="H235" s="4728"/>
    </row>
    <row r="236" spans="1:8" ht="12.75" customHeight="1">
      <c r="C236" s="1386"/>
      <c r="D236" s="1384" t="s">
        <v>2917</v>
      </c>
      <c r="E236" s="4729" t="s">
        <v>3037</v>
      </c>
      <c r="F236" s="4729"/>
      <c r="G236" s="4729"/>
      <c r="H236" s="4729"/>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3952</v>
      </c>
      <c r="E242" s="4728" t="s">
        <v>3036</v>
      </c>
      <c r="F242" s="4728"/>
      <c r="G242" s="4728"/>
      <c r="H242" s="4728"/>
    </row>
    <row r="243" spans="1:8" ht="12.75" customHeight="1">
      <c r="C243" s="1386"/>
      <c r="D243" s="630" t="s">
        <v>2917</v>
      </c>
      <c r="E243" s="4728" t="s">
        <v>3037</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3952</v>
      </c>
      <c r="E247" s="4728" t="s">
        <v>3036</v>
      </c>
      <c r="F247" s="4728"/>
      <c r="G247" s="4728"/>
      <c r="H247" s="4728"/>
    </row>
    <row r="248" spans="1:8" ht="12.75" customHeight="1">
      <c r="C248" s="1386"/>
      <c r="D248" s="1384" t="s">
        <v>2917</v>
      </c>
      <c r="E248" s="4729" t="s">
        <v>3037</v>
      </c>
      <c r="F248" s="4729"/>
      <c r="G248" s="4729"/>
      <c r="H248" s="4729"/>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3952</v>
      </c>
      <c r="E252" s="4728" t="s">
        <v>3036</v>
      </c>
      <c r="F252" s="4728"/>
      <c r="G252" s="4728"/>
      <c r="H252" s="4728"/>
    </row>
    <row r="253" spans="1:8" ht="12.75" customHeight="1">
      <c r="C253" s="1386"/>
      <c r="D253" s="1384" t="s">
        <v>2917</v>
      </c>
      <c r="E253" s="4729" t="s">
        <v>3037</v>
      </c>
      <c r="F253" s="4729"/>
      <c r="G253" s="4729"/>
      <c r="H253" s="4729"/>
    </row>
    <row r="254" spans="1:8" ht="6" customHeight="1">
      <c r="D254" s="627"/>
      <c r="E254" s="1004"/>
      <c r="F254" s="1004"/>
      <c r="G254" s="1004"/>
      <c r="H254" s="1004"/>
    </row>
    <row r="255" spans="1:8">
      <c r="A255" s="608" t="s">
        <v>2913</v>
      </c>
      <c r="B255" s="625" t="str">
        <f>IF('Part V-Revenues &amp; Expenses'!$O$60=0,"",'Part V-Revenues &amp; Expenses'!$O$60)</f>
        <v/>
      </c>
      <c r="C255" s="608" t="s">
        <v>3950</v>
      </c>
      <c r="D255" s="626" t="s">
        <v>3951</v>
      </c>
    </row>
    <row r="256" spans="1:8" ht="1.9"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3036</v>
      </c>
      <c r="F259" s="4728"/>
      <c r="G259" s="4728"/>
      <c r="H259" s="4728"/>
    </row>
    <row r="260" spans="1:11" ht="12.75" customHeight="1">
      <c r="D260" s="630" t="s">
        <v>2917</v>
      </c>
      <c r="E260" s="4728" t="s">
        <v>3037</v>
      </c>
      <c r="F260" s="4728"/>
      <c r="G260" s="4728"/>
      <c r="H260" s="4728"/>
    </row>
    <row r="261" spans="1:11" ht="9" customHeight="1" thickBot="1"/>
    <row r="262" spans="1:11" ht="16.149999999999999" customHeight="1" thickBot="1">
      <c r="A262" s="4735">
        <v>50</v>
      </c>
      <c r="B262" s="4736"/>
      <c r="C262" s="1387" t="s">
        <v>974</v>
      </c>
    </row>
    <row r="263" spans="1:11" ht="9" customHeight="1">
      <c r="A263" s="600"/>
    </row>
    <row r="264" spans="1:11" ht="28.15" customHeight="1">
      <c r="A264" s="4728" t="s">
        <v>3953</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3947</v>
      </c>
      <c r="D266" s="626" t="s">
        <v>3948</v>
      </c>
    </row>
    <row r="267" spans="1:11" ht="1.9"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3952</v>
      </c>
      <c r="E270" s="4728" t="s">
        <v>3036</v>
      </c>
      <c r="F270" s="4728"/>
      <c r="G270" s="4728"/>
      <c r="H270" s="4728"/>
    </row>
    <row r="271" spans="1:11" ht="12.75" customHeight="1">
      <c r="C271" s="1386"/>
      <c r="D271" s="1384" t="s">
        <v>2917</v>
      </c>
      <c r="E271" s="4729" t="s">
        <v>3037</v>
      </c>
      <c r="F271" s="4729"/>
      <c r="G271" s="4729"/>
      <c r="H271" s="4729"/>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3952</v>
      </c>
      <c r="E275" s="4728" t="s">
        <v>3036</v>
      </c>
      <c r="F275" s="4728"/>
      <c r="G275" s="4728"/>
      <c r="H275" s="4728"/>
    </row>
    <row r="276" spans="1:8" ht="12.75" customHeight="1">
      <c r="C276" s="1386"/>
      <c r="D276" s="1384" t="s">
        <v>2917</v>
      </c>
      <c r="E276" s="4729" t="s">
        <v>3037</v>
      </c>
      <c r="F276" s="4729"/>
      <c r="G276" s="4729"/>
      <c r="H276" s="4729"/>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3952</v>
      </c>
      <c r="E280" s="4728" t="s">
        <v>3036</v>
      </c>
      <c r="F280" s="4728"/>
      <c r="G280" s="4728"/>
      <c r="H280" s="4728"/>
    </row>
    <row r="281" spans="1:8" ht="12.75" customHeight="1">
      <c r="C281" s="1386"/>
      <c r="D281" s="1384" t="s">
        <v>2917</v>
      </c>
      <c r="E281" s="4729" t="s">
        <v>3037</v>
      </c>
      <c r="F281" s="4729"/>
      <c r="G281" s="4729"/>
      <c r="H281" s="4729"/>
    </row>
    <row r="282" spans="1:8" ht="6" customHeight="1">
      <c r="D282" s="627"/>
      <c r="E282" s="1004"/>
      <c r="F282" s="1004"/>
      <c r="G282" s="1004"/>
      <c r="H282" s="1004"/>
    </row>
    <row r="283" spans="1:8">
      <c r="A283" s="608" t="s">
        <v>2913</v>
      </c>
      <c r="B283" s="625">
        <f>IF('Part V-Revenues &amp; Expenses'!$L$59=0,"",'Part V-Revenues &amp; Expenses'!$L$59)</f>
        <v>3</v>
      </c>
      <c r="C283" s="608" t="s">
        <v>2914</v>
      </c>
      <c r="D283" s="626" t="s">
        <v>3038</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3952</v>
      </c>
      <c r="E287" s="4728" t="s">
        <v>3036</v>
      </c>
      <c r="F287" s="4728"/>
      <c r="G287" s="4728"/>
      <c r="H287" s="4728"/>
    </row>
    <row r="288" spans="1:8" ht="12.75" customHeight="1">
      <c r="C288" s="1386"/>
      <c r="D288" s="630" t="s">
        <v>2917</v>
      </c>
      <c r="E288" s="4728" t="s">
        <v>3037</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3952</v>
      </c>
      <c r="E292" s="4728" t="s">
        <v>3036</v>
      </c>
      <c r="F292" s="4728"/>
      <c r="G292" s="4728"/>
      <c r="H292" s="4728"/>
    </row>
    <row r="293" spans="1:8" ht="12.75" customHeight="1">
      <c r="C293" s="1386"/>
      <c r="D293" s="1384" t="s">
        <v>2917</v>
      </c>
      <c r="E293" s="4729" t="s">
        <v>3037</v>
      </c>
      <c r="F293" s="4729"/>
      <c r="G293" s="4729"/>
      <c r="H293" s="4729"/>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3952</v>
      </c>
      <c r="E297" s="4728" t="s">
        <v>3036</v>
      </c>
      <c r="F297" s="4728"/>
      <c r="G297" s="4728"/>
      <c r="H297" s="4728"/>
    </row>
    <row r="298" spans="1:8" ht="12.75" customHeight="1">
      <c r="C298" s="1386"/>
      <c r="D298" s="1384" t="s">
        <v>2917</v>
      </c>
      <c r="E298" s="4729" t="s">
        <v>3037</v>
      </c>
      <c r="F298" s="4729"/>
      <c r="G298" s="4729"/>
      <c r="H298" s="4729"/>
    </row>
    <row r="299" spans="1:8" ht="6" customHeight="1">
      <c r="D299" s="627"/>
      <c r="E299" s="1004"/>
      <c r="F299" s="1004"/>
      <c r="G299" s="1004"/>
      <c r="H299" s="1004"/>
    </row>
    <row r="300" spans="1:8">
      <c r="A300" s="608" t="s">
        <v>2913</v>
      </c>
      <c r="B300" s="625">
        <f>IF('Part V-Revenues &amp; Expenses'!$M$59=0,"",'Part V-Revenues &amp; Expenses'!$M$59)</f>
        <v>13</v>
      </c>
      <c r="C300" s="608" t="s">
        <v>2915</v>
      </c>
      <c r="D300" s="626" t="s">
        <v>3039</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3952</v>
      </c>
      <c r="E304" s="4728" t="s">
        <v>3036</v>
      </c>
      <c r="F304" s="4728"/>
      <c r="G304" s="4728"/>
      <c r="H304" s="4728"/>
    </row>
    <row r="305" spans="1:8" ht="12.75" customHeight="1">
      <c r="C305" s="1386"/>
      <c r="D305" s="630" t="s">
        <v>2917</v>
      </c>
      <c r="E305" s="4728" t="s">
        <v>3037</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3952</v>
      </c>
      <c r="E309" s="4728" t="s">
        <v>3036</v>
      </c>
      <c r="F309" s="4728"/>
      <c r="G309" s="4728"/>
      <c r="H309" s="4728"/>
    </row>
    <row r="310" spans="1:8" ht="12.75" customHeight="1">
      <c r="C310" s="1386"/>
      <c r="D310" s="1384" t="s">
        <v>2917</v>
      </c>
      <c r="E310" s="4729" t="s">
        <v>3037</v>
      </c>
      <c r="F310" s="4729"/>
      <c r="G310" s="4729"/>
      <c r="H310" s="4729"/>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3952</v>
      </c>
      <c r="E314" s="4728" t="s">
        <v>3036</v>
      </c>
      <c r="F314" s="4728"/>
      <c r="G314" s="4728"/>
      <c r="H314" s="4728"/>
    </row>
    <row r="315" spans="1:8" ht="12.75" customHeight="1">
      <c r="C315" s="1386"/>
      <c r="D315" s="1384" t="s">
        <v>2917</v>
      </c>
      <c r="E315" s="4729" t="s">
        <v>3037</v>
      </c>
      <c r="F315" s="4729"/>
      <c r="G315" s="4729"/>
      <c r="H315" s="4729"/>
    </row>
    <row r="316" spans="1:8" ht="6" customHeight="1">
      <c r="D316" s="627"/>
      <c r="E316" s="1004"/>
      <c r="F316" s="1004"/>
      <c r="G316" s="1004"/>
      <c r="H316" s="1004"/>
    </row>
    <row r="317" spans="1:8">
      <c r="A317" s="608" t="s">
        <v>2913</v>
      </c>
      <c r="B317" s="625">
        <f>IF('Part V-Revenues &amp; Expenses'!$N$59=0,"",'Part V-Revenues &amp; Expenses'!$N$59)</f>
        <v>10</v>
      </c>
      <c r="C317" s="608" t="s">
        <v>2916</v>
      </c>
      <c r="D317" s="626" t="s">
        <v>3040</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3952</v>
      </c>
      <c r="E321" s="4728" t="s">
        <v>3036</v>
      </c>
      <c r="F321" s="4728"/>
      <c r="G321" s="4728"/>
      <c r="H321" s="4728"/>
    </row>
    <row r="322" spans="1:11" ht="12.75" customHeight="1">
      <c r="C322" s="1386"/>
      <c r="D322" s="630" t="s">
        <v>2917</v>
      </c>
      <c r="E322" s="4728" t="s">
        <v>3037</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3952</v>
      </c>
      <c r="E326" s="4728" t="s">
        <v>3036</v>
      </c>
      <c r="F326" s="4728"/>
      <c r="G326" s="4728"/>
      <c r="H326" s="4728"/>
    </row>
    <row r="327" spans="1:11" ht="12.75" customHeight="1">
      <c r="C327" s="1386"/>
      <c r="D327" s="1384" t="s">
        <v>2917</v>
      </c>
      <c r="E327" s="4729" t="s">
        <v>3037</v>
      </c>
      <c r="F327" s="4729"/>
      <c r="G327" s="4729"/>
      <c r="H327" s="4729"/>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3952</v>
      </c>
      <c r="E331" s="4728" t="s">
        <v>3036</v>
      </c>
      <c r="F331" s="4728"/>
      <c r="G331" s="4728"/>
      <c r="H331" s="4728"/>
    </row>
    <row r="332" spans="1:11" ht="12.75" customHeight="1">
      <c r="C332" s="1386"/>
      <c r="D332" s="1384" t="s">
        <v>2917</v>
      </c>
      <c r="E332" s="4729" t="s">
        <v>3037</v>
      </c>
      <c r="F332" s="4729"/>
      <c r="G332" s="4729"/>
      <c r="H332" s="4729"/>
    </row>
    <row r="333" spans="1:11" ht="6" customHeight="1">
      <c r="D333" s="627"/>
      <c r="E333" s="1004"/>
      <c r="F333" s="1004"/>
      <c r="G333" s="1004"/>
      <c r="H333" s="1004"/>
    </row>
    <row r="334" spans="1:11">
      <c r="A334" s="608" t="s">
        <v>2913</v>
      </c>
      <c r="B334" s="625" t="str">
        <f>IF('Part V-Revenues &amp; Expenses'!$O$59=0,"",'Part V-Revenues &amp; Expenses'!$O$59)</f>
        <v/>
      </c>
      <c r="C334" s="608" t="s">
        <v>3950</v>
      </c>
      <c r="D334" s="626" t="s">
        <v>3951</v>
      </c>
    </row>
    <row r="335" spans="1:11" ht="1.9"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3036</v>
      </c>
      <c r="F338" s="4728"/>
      <c r="G338" s="4728"/>
      <c r="H338" s="4728"/>
    </row>
    <row r="339" spans="1:8" ht="12.75" customHeight="1">
      <c r="D339" s="630" t="s">
        <v>2917</v>
      </c>
      <c r="E339" s="4728" t="s">
        <v>3037</v>
      </c>
      <c r="F339" s="4728"/>
      <c r="G339" s="4728"/>
      <c r="H339" s="4728"/>
    </row>
    <row r="340" spans="1:8" ht="9" customHeight="1"/>
    <row r="341" spans="1:8" ht="7.5" customHeight="1" thickBot="1">
      <c r="E341" s="4728"/>
      <c r="F341" s="4728"/>
      <c r="G341" s="4728"/>
      <c r="H341" s="4728"/>
    </row>
    <row r="342" spans="1:8" ht="16.149999999999999" customHeight="1" thickBot="1">
      <c r="A342" s="4735">
        <v>60</v>
      </c>
      <c r="B342" s="4736"/>
      <c r="C342" s="1387" t="s">
        <v>974</v>
      </c>
    </row>
    <row r="343" spans="1:8" ht="9" customHeight="1">
      <c r="A343" s="600"/>
    </row>
    <row r="344" spans="1:8" ht="28.15" customHeight="1">
      <c r="A344" s="4728" t="s">
        <v>3957</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3947</v>
      </c>
      <c r="D346" s="626" t="s">
        <v>3948</v>
      </c>
    </row>
    <row r="347" spans="1:8" ht="1.9"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3952</v>
      </c>
      <c r="E350" s="4728" t="s">
        <v>3036</v>
      </c>
      <c r="F350" s="4728"/>
      <c r="G350" s="4728"/>
      <c r="H350" s="4728"/>
    </row>
    <row r="351" spans="1:8" ht="12.75" customHeight="1">
      <c r="C351" s="1386"/>
      <c r="D351" s="1384" t="s">
        <v>2917</v>
      </c>
      <c r="E351" s="4729" t="s">
        <v>3037</v>
      </c>
      <c r="F351" s="4729"/>
      <c r="G351" s="4729"/>
      <c r="H351" s="4729"/>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3952</v>
      </c>
      <c r="E355" s="4728" t="s">
        <v>3036</v>
      </c>
      <c r="F355" s="4728"/>
      <c r="G355" s="4728"/>
      <c r="H355" s="4728"/>
    </row>
    <row r="356" spans="1:8" ht="12.75" customHeight="1">
      <c r="C356" s="1386"/>
      <c r="D356" s="1384" t="s">
        <v>2917</v>
      </c>
      <c r="E356" s="4729" t="s">
        <v>3037</v>
      </c>
      <c r="F356" s="4729"/>
      <c r="G356" s="4729"/>
      <c r="H356" s="4729"/>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3952</v>
      </c>
      <c r="E360" s="4728" t="s">
        <v>3036</v>
      </c>
      <c r="F360" s="4728"/>
      <c r="G360" s="4728"/>
      <c r="H360" s="4728"/>
    </row>
    <row r="361" spans="1:8" ht="12.75" customHeight="1">
      <c r="C361" s="1386"/>
      <c r="D361" s="1384" t="s">
        <v>2917</v>
      </c>
      <c r="E361" s="4729" t="s">
        <v>3037</v>
      </c>
      <c r="F361" s="4729"/>
      <c r="G361" s="4729"/>
      <c r="H361" s="4729"/>
    </row>
    <row r="362" spans="1:8" ht="6" customHeight="1">
      <c r="D362" s="627"/>
      <c r="E362" s="1004"/>
      <c r="F362" s="1004"/>
      <c r="G362" s="1004"/>
      <c r="H362" s="1004"/>
    </row>
    <row r="363" spans="1:8">
      <c r="A363" s="608" t="s">
        <v>2913</v>
      </c>
      <c r="B363" s="625">
        <f>IF('Part V-Revenues &amp; Expenses'!$L$58=0,"",'Part V-Revenues &amp; Expenses'!$L$58)</f>
        <v>1</v>
      </c>
      <c r="C363" s="608" t="s">
        <v>2914</v>
      </c>
      <c r="D363" s="626" t="s">
        <v>3038</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3952</v>
      </c>
      <c r="E367" s="4728" t="s">
        <v>3036</v>
      </c>
      <c r="F367" s="4728"/>
      <c r="G367" s="4728"/>
      <c r="H367" s="4728"/>
    </row>
    <row r="368" spans="1:8" ht="12.75" customHeight="1">
      <c r="C368" s="1386"/>
      <c r="D368" s="630" t="s">
        <v>2917</v>
      </c>
      <c r="E368" s="4728" t="s">
        <v>3037</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3952</v>
      </c>
      <c r="E372" s="4728" t="s">
        <v>3036</v>
      </c>
      <c r="F372" s="4728"/>
      <c r="G372" s="4728"/>
      <c r="H372" s="4728"/>
    </row>
    <row r="373" spans="1:8" ht="12.75" customHeight="1">
      <c r="C373" s="1386"/>
      <c r="D373" s="1384" t="s">
        <v>2917</v>
      </c>
      <c r="E373" s="4729" t="s">
        <v>3037</v>
      </c>
      <c r="F373" s="4729"/>
      <c r="G373" s="4729"/>
      <c r="H373" s="4729"/>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3952</v>
      </c>
      <c r="E377" s="4728" t="s">
        <v>3036</v>
      </c>
      <c r="F377" s="4728"/>
      <c r="G377" s="4728"/>
      <c r="H377" s="4728"/>
    </row>
    <row r="378" spans="1:8" ht="12.75" customHeight="1">
      <c r="C378" s="1386"/>
      <c r="D378" s="1384" t="s">
        <v>2917</v>
      </c>
      <c r="E378" s="4729" t="s">
        <v>3037</v>
      </c>
      <c r="F378" s="4729"/>
      <c r="G378" s="4729"/>
      <c r="H378" s="4729"/>
    </row>
    <row r="379" spans="1:8" ht="6" customHeight="1">
      <c r="D379" s="627"/>
      <c r="E379" s="1004"/>
      <c r="F379" s="1004"/>
      <c r="G379" s="1004"/>
      <c r="H379" s="1004"/>
    </row>
    <row r="380" spans="1:8">
      <c r="A380" s="608" t="s">
        <v>2913</v>
      </c>
      <c r="B380" s="625">
        <f>IF('Part V-Revenues &amp; Expenses'!$M$58=0,"",'Part V-Revenues &amp; Expenses'!$M$58)</f>
        <v>3</v>
      </c>
      <c r="C380" s="608" t="s">
        <v>2915</v>
      </c>
      <c r="D380" s="626" t="s">
        <v>3039</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3952</v>
      </c>
      <c r="E384" s="4728" t="s">
        <v>3036</v>
      </c>
      <c r="F384" s="4728"/>
      <c r="G384" s="4728"/>
      <c r="H384" s="4728"/>
    </row>
    <row r="385" spans="1:8" ht="12.75" customHeight="1">
      <c r="C385" s="1386"/>
      <c r="D385" s="630" t="s">
        <v>2917</v>
      </c>
      <c r="E385" s="4728" t="s">
        <v>3037</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3952</v>
      </c>
      <c r="E389" s="4728" t="s">
        <v>3036</v>
      </c>
      <c r="F389" s="4728"/>
      <c r="G389" s="4728"/>
      <c r="H389" s="4728"/>
    </row>
    <row r="390" spans="1:8" ht="12.75" customHeight="1">
      <c r="C390" s="1386"/>
      <c r="D390" s="1384" t="s">
        <v>2917</v>
      </c>
      <c r="E390" s="4729" t="s">
        <v>3037</v>
      </c>
      <c r="F390" s="4729"/>
      <c r="G390" s="4729"/>
      <c r="H390" s="4729"/>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3952</v>
      </c>
      <c r="E394" s="4728" t="s">
        <v>3036</v>
      </c>
      <c r="F394" s="4728"/>
      <c r="G394" s="4728"/>
      <c r="H394" s="4728"/>
    </row>
    <row r="395" spans="1:8" ht="12.75" customHeight="1">
      <c r="C395" s="1386"/>
      <c r="D395" s="1384" t="s">
        <v>2917</v>
      </c>
      <c r="E395" s="4729" t="s">
        <v>3037</v>
      </c>
      <c r="F395" s="4729"/>
      <c r="G395" s="4729"/>
      <c r="H395" s="4729"/>
    </row>
    <row r="396" spans="1:8" ht="6" customHeight="1">
      <c r="D396" s="627"/>
      <c r="E396" s="1004"/>
      <c r="F396" s="1004"/>
      <c r="G396" s="1004"/>
      <c r="H396" s="1004"/>
    </row>
    <row r="397" spans="1:8">
      <c r="A397" s="608" t="s">
        <v>2913</v>
      </c>
      <c r="B397" s="625">
        <f>IF('Part V-Revenues &amp; Expenses'!$N$58=0,"",'Part V-Revenues &amp; Expenses'!$N$58)</f>
        <v>2</v>
      </c>
      <c r="C397" s="608" t="s">
        <v>2916</v>
      </c>
      <c r="D397" s="626" t="s">
        <v>3040</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3952</v>
      </c>
      <c r="E401" s="4728" t="s">
        <v>3036</v>
      </c>
      <c r="F401" s="4728"/>
      <c r="G401" s="4728"/>
      <c r="H401" s="4728"/>
    </row>
    <row r="402" spans="1:11" ht="12.75" customHeight="1">
      <c r="C402" s="1386"/>
      <c r="D402" s="630" t="s">
        <v>2917</v>
      </c>
      <c r="E402" s="4728" t="s">
        <v>3037</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3952</v>
      </c>
      <c r="E406" s="4728" t="s">
        <v>3036</v>
      </c>
      <c r="F406" s="4728"/>
      <c r="G406" s="4728"/>
      <c r="H406" s="4728"/>
    </row>
    <row r="407" spans="1:11" ht="12.75" customHeight="1">
      <c r="C407" s="1386"/>
      <c r="D407" s="1384" t="s">
        <v>2917</v>
      </c>
      <c r="E407" s="4729" t="s">
        <v>3037</v>
      </c>
      <c r="F407" s="4729"/>
      <c r="G407" s="4729"/>
      <c r="H407" s="4729"/>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3952</v>
      </c>
      <c r="E411" s="4728" t="s">
        <v>3036</v>
      </c>
      <c r="F411" s="4728"/>
      <c r="G411" s="4728"/>
      <c r="H411" s="4728"/>
    </row>
    <row r="412" spans="1:11" ht="12.75" customHeight="1">
      <c r="C412" s="1386"/>
      <c r="D412" s="1384" t="s">
        <v>2917</v>
      </c>
      <c r="E412" s="4729" t="s">
        <v>3037</v>
      </c>
      <c r="F412" s="4729"/>
      <c r="G412" s="4729"/>
      <c r="H412" s="4729"/>
    </row>
    <row r="413" spans="1:11" ht="6" customHeight="1">
      <c r="D413" s="627"/>
      <c r="E413" s="1004"/>
      <c r="F413" s="1004"/>
      <c r="G413" s="1004"/>
      <c r="H413" s="1004"/>
    </row>
    <row r="414" spans="1:11">
      <c r="A414" s="608" t="s">
        <v>2913</v>
      </c>
      <c r="B414" s="625" t="str">
        <f>IF('Part V-Revenues &amp; Expenses'!$O$58=0,"",'Part V-Revenues &amp; Expenses'!$O$58)</f>
        <v/>
      </c>
      <c r="C414" s="608" t="s">
        <v>3950</v>
      </c>
      <c r="D414" s="626" t="s">
        <v>3951</v>
      </c>
    </row>
    <row r="415" spans="1:11" ht="1.9"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3036</v>
      </c>
      <c r="F418" s="4728"/>
      <c r="G418" s="4728"/>
      <c r="H418" s="4728"/>
    </row>
    <row r="419" spans="1:8" ht="12.75" customHeight="1">
      <c r="D419" s="630" t="s">
        <v>2917</v>
      </c>
      <c r="E419" s="4728" t="s">
        <v>3037</v>
      </c>
      <c r="F419" s="4728"/>
      <c r="G419" s="4728"/>
      <c r="H419" s="4728"/>
    </row>
    <row r="420" spans="1:8" ht="9" customHeight="1" thickBot="1"/>
    <row r="421" spans="1:8" ht="16.149999999999999" customHeight="1" thickBot="1">
      <c r="A421" s="4735">
        <v>70</v>
      </c>
      <c r="B421" s="4736"/>
      <c r="C421" s="1387" t="s">
        <v>974</v>
      </c>
    </row>
    <row r="422" spans="1:8" ht="9" customHeight="1">
      <c r="A422" s="600"/>
    </row>
    <row r="423" spans="1:8" ht="28.15" customHeight="1">
      <c r="A423" s="4728" t="s">
        <v>3958</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3947</v>
      </c>
      <c r="D425" s="626" t="s">
        <v>3948</v>
      </c>
    </row>
    <row r="426" spans="1:8" ht="1.9"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3952</v>
      </c>
      <c r="E429" s="4728" t="s">
        <v>3036</v>
      </c>
      <c r="F429" s="4728"/>
      <c r="G429" s="4728"/>
      <c r="H429" s="4728"/>
    </row>
    <row r="430" spans="1:8" ht="12.75" customHeight="1">
      <c r="C430" s="1386"/>
      <c r="D430" s="1384" t="s">
        <v>2917</v>
      </c>
      <c r="E430" s="4729" t="s">
        <v>3037</v>
      </c>
      <c r="F430" s="4729"/>
      <c r="G430" s="4729"/>
      <c r="H430" s="4729"/>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3952</v>
      </c>
      <c r="E434" s="4728" t="s">
        <v>3036</v>
      </c>
      <c r="F434" s="4728"/>
      <c r="G434" s="4728"/>
      <c r="H434" s="4728"/>
    </row>
    <row r="435" spans="1:8" ht="12.75" customHeight="1">
      <c r="C435" s="1386"/>
      <c r="D435" s="1384" t="s">
        <v>2917</v>
      </c>
      <c r="E435" s="4729" t="s">
        <v>3037</v>
      </c>
      <c r="F435" s="4729"/>
      <c r="G435" s="4729"/>
      <c r="H435" s="4729"/>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3952</v>
      </c>
      <c r="E439" s="4728" t="s">
        <v>3036</v>
      </c>
      <c r="F439" s="4728"/>
      <c r="G439" s="4728"/>
      <c r="H439" s="4728"/>
    </row>
    <row r="440" spans="1:8" ht="12.75" customHeight="1">
      <c r="C440" s="1386"/>
      <c r="D440" s="1384" t="s">
        <v>2917</v>
      </c>
      <c r="E440" s="4729" t="s">
        <v>3037</v>
      </c>
      <c r="F440" s="4729"/>
      <c r="G440" s="4729"/>
      <c r="H440" s="4729"/>
    </row>
    <row r="441" spans="1:8" ht="6" customHeight="1">
      <c r="D441" s="627"/>
      <c r="E441" s="1004"/>
      <c r="F441" s="1004"/>
      <c r="G441" s="1004"/>
      <c r="H441" s="1004"/>
    </row>
    <row r="442" spans="1:8">
      <c r="A442" s="608" t="s">
        <v>2913</v>
      </c>
      <c r="B442" s="625">
        <f>IF('Part V-Revenues &amp; Expenses'!$L$57=0,"",'Part V-Revenues &amp; Expenses'!$L$57)</f>
        <v>2</v>
      </c>
      <c r="C442" s="608" t="s">
        <v>2914</v>
      </c>
      <c r="D442" s="626" t="s">
        <v>3038</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3952</v>
      </c>
      <c r="E446" s="4728" t="s">
        <v>3036</v>
      </c>
      <c r="F446" s="4728"/>
      <c r="G446" s="4728"/>
      <c r="H446" s="4728"/>
    </row>
    <row r="447" spans="1:8" ht="12.75" customHeight="1">
      <c r="C447" s="1386"/>
      <c r="D447" s="630" t="s">
        <v>2917</v>
      </c>
      <c r="E447" s="4728" t="s">
        <v>3037</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3952</v>
      </c>
      <c r="E451" s="4728" t="s">
        <v>3036</v>
      </c>
      <c r="F451" s="4728"/>
      <c r="G451" s="4728"/>
      <c r="H451" s="4728"/>
    </row>
    <row r="452" spans="1:8" ht="12.75" customHeight="1">
      <c r="C452" s="1386"/>
      <c r="D452" s="1384" t="s">
        <v>2917</v>
      </c>
      <c r="E452" s="4729" t="s">
        <v>3037</v>
      </c>
      <c r="F452" s="4729"/>
      <c r="G452" s="4729"/>
      <c r="H452" s="4729"/>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3952</v>
      </c>
      <c r="E456" s="4728" t="s">
        <v>3036</v>
      </c>
      <c r="F456" s="4728"/>
      <c r="G456" s="4728"/>
      <c r="H456" s="4728"/>
    </row>
    <row r="457" spans="1:8" ht="12.75" customHeight="1">
      <c r="C457" s="1386"/>
      <c r="D457" s="1384" t="s">
        <v>2917</v>
      </c>
      <c r="E457" s="4729" t="s">
        <v>3037</v>
      </c>
      <c r="F457" s="4729"/>
      <c r="G457" s="4729"/>
      <c r="H457" s="4729"/>
    </row>
    <row r="458" spans="1:8" ht="6" customHeight="1">
      <c r="D458" s="627"/>
      <c r="E458" s="1004"/>
      <c r="F458" s="1004"/>
      <c r="G458" s="1004"/>
      <c r="H458" s="1004"/>
    </row>
    <row r="459" spans="1:8">
      <c r="A459" s="608" t="s">
        <v>2913</v>
      </c>
      <c r="B459" s="625">
        <f>IF('Part V-Revenues &amp; Expenses'!$M$57=0,"",'Part V-Revenues &amp; Expenses'!$M$57)</f>
        <v>8</v>
      </c>
      <c r="C459" s="608" t="s">
        <v>2915</v>
      </c>
      <c r="D459" s="626" t="s">
        <v>3039</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3952</v>
      </c>
      <c r="E463" s="4728" t="s">
        <v>3036</v>
      </c>
      <c r="F463" s="4728"/>
      <c r="G463" s="4728"/>
      <c r="H463" s="4728"/>
    </row>
    <row r="464" spans="1:8" ht="12.75" customHeight="1">
      <c r="C464" s="1386"/>
      <c r="D464" s="630" t="s">
        <v>2917</v>
      </c>
      <c r="E464" s="4728" t="s">
        <v>3037</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3952</v>
      </c>
      <c r="E468" s="4728" t="s">
        <v>3036</v>
      </c>
      <c r="F468" s="4728"/>
      <c r="G468" s="4728"/>
      <c r="H468" s="4728"/>
    </row>
    <row r="469" spans="1:8" ht="12.75" customHeight="1">
      <c r="C469" s="1386"/>
      <c r="D469" s="1384" t="s">
        <v>2917</v>
      </c>
      <c r="E469" s="4729" t="s">
        <v>3037</v>
      </c>
      <c r="F469" s="4729"/>
      <c r="G469" s="4729"/>
      <c r="H469" s="4729"/>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3952</v>
      </c>
      <c r="E473" s="4728" t="s">
        <v>3036</v>
      </c>
      <c r="F473" s="4728"/>
      <c r="G473" s="4728"/>
      <c r="H473" s="4728"/>
    </row>
    <row r="474" spans="1:8" ht="12.75" customHeight="1">
      <c r="C474" s="1386"/>
      <c r="D474" s="1384" t="s">
        <v>2917</v>
      </c>
      <c r="E474" s="4729" t="s">
        <v>3037</v>
      </c>
      <c r="F474" s="4729"/>
      <c r="G474" s="4729"/>
      <c r="H474" s="4729"/>
    </row>
    <row r="475" spans="1:8" ht="6" customHeight="1">
      <c r="D475" s="627"/>
      <c r="E475" s="1004"/>
      <c r="F475" s="1004"/>
      <c r="G475" s="1004"/>
      <c r="H475" s="1004"/>
    </row>
    <row r="476" spans="1:8">
      <c r="A476" s="608" t="s">
        <v>2913</v>
      </c>
      <c r="B476" s="625">
        <f>IF('Part V-Revenues &amp; Expenses'!$N$57=0,"",'Part V-Revenues &amp; Expenses'!$N$57)</f>
        <v>6</v>
      </c>
      <c r="C476" s="608" t="s">
        <v>2916</v>
      </c>
      <c r="D476" s="626" t="s">
        <v>3040</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3952</v>
      </c>
      <c r="E480" s="4728" t="s">
        <v>3036</v>
      </c>
      <c r="F480" s="4728"/>
      <c r="G480" s="4728"/>
      <c r="H480" s="4728"/>
    </row>
    <row r="481" spans="1:11" ht="12.75" customHeight="1">
      <c r="C481" s="1386"/>
      <c r="D481" s="630" t="s">
        <v>2917</v>
      </c>
      <c r="E481" s="4728" t="s">
        <v>3037</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3952</v>
      </c>
      <c r="E485" s="4728" t="s">
        <v>3036</v>
      </c>
      <c r="F485" s="4728"/>
      <c r="G485" s="4728"/>
      <c r="H485" s="4728"/>
    </row>
    <row r="486" spans="1:11" ht="12.75" customHeight="1">
      <c r="C486" s="1386"/>
      <c r="D486" s="1384" t="s">
        <v>2917</v>
      </c>
      <c r="E486" s="4729" t="s">
        <v>3037</v>
      </c>
      <c r="F486" s="4729"/>
      <c r="G486" s="4729"/>
      <c r="H486" s="4729"/>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3952</v>
      </c>
      <c r="E490" s="4728" t="s">
        <v>3036</v>
      </c>
      <c r="F490" s="4728"/>
      <c r="G490" s="4728"/>
      <c r="H490" s="4728"/>
    </row>
    <row r="491" spans="1:11" ht="12.75" customHeight="1">
      <c r="C491" s="1386"/>
      <c r="D491" s="1384" t="s">
        <v>2917</v>
      </c>
      <c r="E491" s="4729" t="s">
        <v>3037</v>
      </c>
      <c r="F491" s="4729"/>
      <c r="G491" s="4729"/>
      <c r="H491" s="4729"/>
    </row>
    <row r="492" spans="1:11" ht="6" customHeight="1">
      <c r="D492" s="627"/>
      <c r="E492" s="1004"/>
      <c r="F492" s="1004"/>
      <c r="G492" s="1004"/>
      <c r="H492" s="1004"/>
    </row>
    <row r="493" spans="1:11">
      <c r="A493" s="608" t="s">
        <v>2913</v>
      </c>
      <c r="B493" s="625" t="str">
        <f>IF('Part V-Revenues &amp; Expenses'!$O$57=0,"",'Part V-Revenues &amp; Expenses'!$O$57)</f>
        <v/>
      </c>
      <c r="C493" s="608" t="s">
        <v>3950</v>
      </c>
      <c r="D493" s="626" t="s">
        <v>3951</v>
      </c>
    </row>
    <row r="494" spans="1:11" ht="1.9"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3036</v>
      </c>
      <c r="F497" s="4728"/>
      <c r="G497" s="4728"/>
      <c r="H497" s="4728"/>
    </row>
    <row r="498" spans="1:8" ht="12.75" customHeight="1">
      <c r="D498" s="630" t="s">
        <v>2917</v>
      </c>
      <c r="E498" s="4728" t="s">
        <v>3037</v>
      </c>
      <c r="F498" s="4728"/>
      <c r="G498" s="4728"/>
      <c r="H498" s="4728"/>
    </row>
    <row r="499" spans="1:8" ht="9" customHeight="1" thickBot="1"/>
    <row r="500" spans="1:8" ht="16.149999999999999" customHeight="1" thickBot="1">
      <c r="A500" s="4735">
        <v>80</v>
      </c>
      <c r="B500" s="4736"/>
      <c r="C500" s="1387" t="s">
        <v>974</v>
      </c>
    </row>
    <row r="501" spans="1:8" ht="9" customHeight="1">
      <c r="A501" s="600"/>
    </row>
    <row r="502" spans="1:8" ht="28.15" customHeight="1">
      <c r="A502" s="4728" t="s">
        <v>3959</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3947</v>
      </c>
      <c r="D504" s="626" t="s">
        <v>3948</v>
      </c>
    </row>
    <row r="505" spans="1:8" ht="1.9"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3952</v>
      </c>
      <c r="E508" s="4728" t="s">
        <v>3036</v>
      </c>
      <c r="F508" s="4728"/>
      <c r="G508" s="4728"/>
      <c r="H508" s="4728"/>
    </row>
    <row r="509" spans="1:8" ht="12.75" customHeight="1">
      <c r="C509" s="1386"/>
      <c r="D509" s="1384" t="s">
        <v>2917</v>
      </c>
      <c r="E509" s="4729" t="s">
        <v>3037</v>
      </c>
      <c r="F509" s="4729"/>
      <c r="G509" s="4729"/>
      <c r="H509" s="4729"/>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3952</v>
      </c>
      <c r="E513" s="4728" t="s">
        <v>3036</v>
      </c>
      <c r="F513" s="4728"/>
      <c r="G513" s="4728"/>
      <c r="H513" s="4728"/>
    </row>
    <row r="514" spans="1:8" ht="12.75" customHeight="1">
      <c r="C514" s="1386"/>
      <c r="D514" s="1384" t="s">
        <v>2917</v>
      </c>
      <c r="E514" s="4729" t="s">
        <v>3037</v>
      </c>
      <c r="F514" s="4729"/>
      <c r="G514" s="4729"/>
      <c r="H514" s="4729"/>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3952</v>
      </c>
      <c r="E518" s="4728" t="s">
        <v>3036</v>
      </c>
      <c r="F518" s="4728"/>
      <c r="G518" s="4728"/>
      <c r="H518" s="4728"/>
    </row>
    <row r="519" spans="1:8" ht="12.75" customHeight="1">
      <c r="C519" s="1386"/>
      <c r="D519" s="1384" t="s">
        <v>2917</v>
      </c>
      <c r="E519" s="4729" t="s">
        <v>3037</v>
      </c>
      <c r="F519" s="4729"/>
      <c r="G519" s="4729"/>
      <c r="H519" s="4729"/>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3038</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3952</v>
      </c>
      <c r="E525" s="4728" t="s">
        <v>3036</v>
      </c>
      <c r="F525" s="4728"/>
      <c r="G525" s="4728"/>
      <c r="H525" s="4728"/>
    </row>
    <row r="526" spans="1:8" ht="12.75" customHeight="1">
      <c r="C526" s="1386"/>
      <c r="D526" s="630" t="s">
        <v>2917</v>
      </c>
      <c r="E526" s="4728" t="s">
        <v>3037</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3952</v>
      </c>
      <c r="E530" s="4728" t="s">
        <v>3036</v>
      </c>
      <c r="F530" s="4728"/>
      <c r="G530" s="4728"/>
      <c r="H530" s="4728"/>
    </row>
    <row r="531" spans="1:8" ht="12.75" customHeight="1">
      <c r="C531" s="1386"/>
      <c r="D531" s="1384" t="s">
        <v>2917</v>
      </c>
      <c r="E531" s="4729" t="s">
        <v>3037</v>
      </c>
      <c r="F531" s="4729"/>
      <c r="G531" s="4729"/>
      <c r="H531" s="4729"/>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3952</v>
      </c>
      <c r="E535" s="4728" t="s">
        <v>3036</v>
      </c>
      <c r="F535" s="4728"/>
      <c r="G535" s="4728"/>
      <c r="H535" s="4728"/>
    </row>
    <row r="536" spans="1:8" ht="12.75" customHeight="1">
      <c r="C536" s="1386"/>
      <c r="D536" s="1384" t="s">
        <v>2917</v>
      </c>
      <c r="E536" s="4729" t="s">
        <v>3037</v>
      </c>
      <c r="F536" s="4729"/>
      <c r="G536" s="4729"/>
      <c r="H536" s="4729"/>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3039</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3952</v>
      </c>
      <c r="E542" s="4728" t="s">
        <v>3036</v>
      </c>
      <c r="F542" s="4728"/>
      <c r="G542" s="4728"/>
      <c r="H542" s="4728"/>
    </row>
    <row r="543" spans="1:8" ht="12.75" customHeight="1">
      <c r="C543" s="1386"/>
      <c r="D543" s="630" t="s">
        <v>2917</v>
      </c>
      <c r="E543" s="4728" t="s">
        <v>3037</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3952</v>
      </c>
      <c r="E547" s="4728" t="s">
        <v>3036</v>
      </c>
      <c r="F547" s="4728"/>
      <c r="G547" s="4728"/>
      <c r="H547" s="4728"/>
    </row>
    <row r="548" spans="1:8" ht="12.75" customHeight="1">
      <c r="C548" s="1386"/>
      <c r="D548" s="1384" t="s">
        <v>2917</v>
      </c>
      <c r="E548" s="4729" t="s">
        <v>3037</v>
      </c>
      <c r="F548" s="4729"/>
      <c r="G548" s="4729"/>
      <c r="H548" s="4729"/>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3952</v>
      </c>
      <c r="E552" s="4728" t="s">
        <v>3036</v>
      </c>
      <c r="F552" s="4728"/>
      <c r="G552" s="4728"/>
      <c r="H552" s="4728"/>
    </row>
    <row r="553" spans="1:8" ht="12.75" customHeight="1">
      <c r="C553" s="1386"/>
      <c r="D553" s="1384" t="s">
        <v>2917</v>
      </c>
      <c r="E553" s="4729" t="s">
        <v>3037</v>
      </c>
      <c r="F553" s="4729"/>
      <c r="G553" s="4729"/>
      <c r="H553" s="4729"/>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3952</v>
      </c>
      <c r="E559" s="4728" t="s">
        <v>3036</v>
      </c>
      <c r="F559" s="4728"/>
      <c r="G559" s="4728"/>
      <c r="H559" s="4728"/>
    </row>
    <row r="560" spans="1:8" ht="12.75" customHeight="1">
      <c r="C560" s="1386"/>
      <c r="D560" s="630" t="s">
        <v>2917</v>
      </c>
      <c r="E560" s="4728" t="s">
        <v>3037</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3952</v>
      </c>
      <c r="E564" s="4728" t="s">
        <v>3036</v>
      </c>
      <c r="F564" s="4728"/>
      <c r="G564" s="4728"/>
      <c r="H564" s="4728"/>
    </row>
    <row r="565" spans="1:11" ht="12.75" customHeight="1">
      <c r="C565" s="1386"/>
      <c r="D565" s="1384" t="s">
        <v>2917</v>
      </c>
      <c r="E565" s="4729" t="s">
        <v>3037</v>
      </c>
      <c r="F565" s="4729"/>
      <c r="G565" s="4729"/>
      <c r="H565" s="4729"/>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3952</v>
      </c>
      <c r="E569" s="4728" t="s">
        <v>3036</v>
      </c>
      <c r="F569" s="4728"/>
      <c r="G569" s="4728"/>
      <c r="H569" s="4728"/>
    </row>
    <row r="570" spans="1:11" ht="12.75" customHeight="1">
      <c r="C570" s="1386"/>
      <c r="D570" s="1384" t="s">
        <v>2917</v>
      </c>
      <c r="E570" s="4729" t="s">
        <v>3037</v>
      </c>
      <c r="F570" s="4729"/>
      <c r="G570" s="4729"/>
      <c r="H570" s="4729"/>
    </row>
    <row r="571" spans="1:11" ht="6" customHeight="1">
      <c r="D571" s="627"/>
      <c r="E571" s="1004"/>
      <c r="F571" s="1004"/>
      <c r="G571" s="1004"/>
      <c r="H571" s="1004"/>
    </row>
    <row r="572" spans="1:11">
      <c r="A572" s="608" t="s">
        <v>2913</v>
      </c>
      <c r="B572" s="625" t="str">
        <f>IF('Part V-Revenues &amp; Expenses'!$O$56=0,"",'Part V-Revenues &amp; Expenses'!$O$56)</f>
        <v/>
      </c>
      <c r="C572" s="608" t="s">
        <v>3950</v>
      </c>
      <c r="D572" s="626" t="s">
        <v>3951</v>
      </c>
    </row>
    <row r="573" spans="1:11" ht="1.9"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3036</v>
      </c>
      <c r="F576" s="4728"/>
      <c r="G576" s="4728"/>
      <c r="H576" s="4728"/>
    </row>
    <row r="577" spans="4:8" ht="12.75" customHeight="1">
      <c r="D577" s="630" t="s">
        <v>2917</v>
      </c>
      <c r="E577" s="4728" t="s">
        <v>3037</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67" t="e">
        <f>#REF!</f>
        <v>#REF!</v>
      </c>
      <c r="P4" s="3068"/>
      <c r="Q4" s="3068"/>
      <c r="R4" s="3068"/>
      <c r="S4" s="3069"/>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3109</v>
      </c>
      <c r="M9" s="3072"/>
      <c r="N9" s="3073"/>
      <c r="O9" s="259" t="s">
        <v>1833</v>
      </c>
      <c r="P9" s="261"/>
      <c r="Q9" s="2943"/>
      <c r="R9" s="2944"/>
      <c r="S9" s="2945"/>
      <c r="Z9" s="1618">
        <v>9</v>
      </c>
    </row>
    <row r="10" spans="1:26" s="144" customFormat="1" ht="11.25" customHeight="1">
      <c r="D10" s="260"/>
      <c r="E10" s="246" t="s">
        <v>3371</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3371</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3371</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3371</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3371</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3371</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3371</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3371</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3371</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3371</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3371</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3371</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3371</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3371</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3371</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3371</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3371</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32"/>
      <c r="I120" s="2933"/>
      <c r="J120" s="2934"/>
      <c r="K120" s="262" t="s">
        <v>1665</v>
      </c>
      <c r="L120" s="2932"/>
      <c r="M120" s="2988"/>
      <c r="N120" s="2989"/>
      <c r="O120" s="259" t="s">
        <v>3055</v>
      </c>
      <c r="P120" s="261"/>
      <c r="Q120" s="2990"/>
      <c r="R120" s="2991"/>
      <c r="S120" s="2992"/>
      <c r="Z120" s="1618">
        <v>120</v>
      </c>
    </row>
    <row r="121" spans="1:26" s="144" customFormat="1" ht="11.25" customHeight="1">
      <c r="C121" s="243"/>
      <c r="D121" s="260"/>
      <c r="E121" s="246" t="s">
        <v>4119</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32"/>
      <c r="I124" s="2933"/>
      <c r="J124" s="2934"/>
      <c r="K124" s="262" t="s">
        <v>1665</v>
      </c>
      <c r="L124" s="2932"/>
      <c r="M124" s="2988"/>
      <c r="N124" s="2989"/>
      <c r="O124" s="259" t="s">
        <v>3055</v>
      </c>
      <c r="P124" s="261"/>
      <c r="Q124" s="2990"/>
      <c r="R124" s="2991"/>
      <c r="S124" s="2992"/>
      <c r="Z124" s="1618">
        <v>124</v>
      </c>
    </row>
    <row r="125" spans="1:26" s="144" customFormat="1" ht="11.25" hidden="1" customHeight="1">
      <c r="C125" s="243"/>
      <c r="D125" s="260"/>
      <c r="E125" s="246" t="s">
        <v>4119</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32"/>
      <c r="I128" s="2933"/>
      <c r="J128" s="2934"/>
      <c r="K128" s="262" t="s">
        <v>1665</v>
      </c>
      <c r="L128" s="2932"/>
      <c r="M128" s="2988"/>
      <c r="N128" s="2989"/>
      <c r="O128" s="259" t="s">
        <v>3055</v>
      </c>
      <c r="P128" s="261"/>
      <c r="Q128" s="2990"/>
      <c r="R128" s="2991"/>
      <c r="S128" s="2992"/>
      <c r="Z128" s="1618">
        <v>128</v>
      </c>
    </row>
    <row r="129" spans="3:26" s="144" customFormat="1" ht="11.25" hidden="1" customHeight="1">
      <c r="C129" s="243"/>
      <c r="D129" s="260"/>
      <c r="E129" s="246" t="s">
        <v>4119</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32"/>
      <c r="I132" s="2933"/>
      <c r="J132" s="2934"/>
      <c r="K132" s="262" t="s">
        <v>1665</v>
      </c>
      <c r="L132" s="2932"/>
      <c r="M132" s="2988"/>
      <c r="N132" s="2989"/>
      <c r="O132" s="259" t="s">
        <v>3055</v>
      </c>
      <c r="P132" s="261"/>
      <c r="Q132" s="2990"/>
      <c r="R132" s="2991"/>
      <c r="S132" s="2992"/>
      <c r="Z132" s="1618">
        <v>132</v>
      </c>
    </row>
    <row r="133" spans="3:26" s="144" customFormat="1" ht="11.25" hidden="1" customHeight="1">
      <c r="C133" s="243"/>
      <c r="D133" s="260"/>
      <c r="E133" s="246" t="s">
        <v>4119</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32"/>
      <c r="I136" s="2933"/>
      <c r="J136" s="2934"/>
      <c r="K136" s="262" t="s">
        <v>1665</v>
      </c>
      <c r="L136" s="2932"/>
      <c r="M136" s="2988"/>
      <c r="N136" s="2989"/>
      <c r="O136" s="259" t="s">
        <v>3055</v>
      </c>
      <c r="P136" s="261"/>
      <c r="Q136" s="2990"/>
      <c r="R136" s="2991"/>
      <c r="S136" s="2992"/>
      <c r="Z136" s="1618">
        <v>136</v>
      </c>
    </row>
    <row r="137" spans="3:26" s="144" customFormat="1" ht="11.25" hidden="1" customHeight="1">
      <c r="C137" s="243"/>
      <c r="D137" s="260"/>
      <c r="E137" s="246" t="s">
        <v>4119</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32"/>
      <c r="I140" s="2933"/>
      <c r="J140" s="2934"/>
      <c r="K140" s="262" t="s">
        <v>1665</v>
      </c>
      <c r="L140" s="2932"/>
      <c r="M140" s="2988"/>
      <c r="N140" s="2989"/>
      <c r="O140" s="259" t="s">
        <v>3055</v>
      </c>
      <c r="P140" s="261"/>
      <c r="Q140" s="2990"/>
      <c r="R140" s="2991"/>
      <c r="S140" s="2992"/>
      <c r="Z140" s="1618">
        <v>140</v>
      </c>
    </row>
    <row r="141" spans="3:26" s="144" customFormat="1" ht="11.25" hidden="1" customHeight="1">
      <c r="C141" s="243"/>
      <c r="D141" s="260"/>
      <c r="E141" s="246" t="s">
        <v>4119</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32"/>
      <c r="I144" s="2933"/>
      <c r="J144" s="2934"/>
      <c r="K144" s="262" t="s">
        <v>1665</v>
      </c>
      <c r="L144" s="2932"/>
      <c r="M144" s="2988"/>
      <c r="N144" s="2989"/>
      <c r="O144" s="259" t="s">
        <v>3055</v>
      </c>
      <c r="P144" s="261"/>
      <c r="Q144" s="2990"/>
      <c r="R144" s="2991"/>
      <c r="S144" s="2992"/>
      <c r="Z144" s="1618">
        <v>144</v>
      </c>
    </row>
    <row r="145" spans="1:26" s="144" customFormat="1" ht="11.25" customHeight="1">
      <c r="C145" s="243"/>
      <c r="D145" s="260"/>
      <c r="E145" s="246" t="s">
        <v>4119</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32"/>
      <c r="I148" s="2933"/>
      <c r="J148" s="2934"/>
      <c r="K148" s="262" t="s">
        <v>1665</v>
      </c>
      <c r="L148" s="2932"/>
      <c r="M148" s="2988"/>
      <c r="N148" s="2989"/>
      <c r="O148" s="259" t="s">
        <v>3055</v>
      </c>
      <c r="P148" s="261"/>
      <c r="Q148" s="2990"/>
      <c r="R148" s="2991"/>
      <c r="S148" s="2992"/>
      <c r="Z148" s="1618">
        <v>148</v>
      </c>
    </row>
    <row r="149" spans="1:26" s="144" customFormat="1" ht="11.25" customHeight="1">
      <c r="D149" s="260"/>
      <c r="E149" s="246" t="s">
        <v>4119</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3.5" thickBot="1">
      <c r="A153" s="2993" t="s">
        <v>3211</v>
      </c>
      <c r="B153" s="2993"/>
      <c r="C153" s="2993"/>
      <c r="D153" s="2993"/>
      <c r="E153" s="2993"/>
      <c r="H153" s="1200" t="s">
        <v>2302</v>
      </c>
      <c r="I153" s="2970" t="s">
        <v>4411</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3714</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4117</v>
      </c>
      <c r="E155" s="256"/>
      <c r="H155" s="1157" t="s">
        <v>3714</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3714</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3714</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3714</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3714</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3714</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3765</v>
      </c>
      <c r="E161" s="256"/>
      <c r="H161" s="1157" t="s">
        <v>3714</v>
      </c>
      <c r="I161" s="3076"/>
      <c r="J161" s="3005"/>
      <c r="K161" s="3005"/>
      <c r="L161" s="3005"/>
      <c r="M161" s="3005"/>
      <c r="N161" s="3005"/>
      <c r="O161" s="3005"/>
      <c r="P161" s="3005"/>
      <c r="Q161" s="3005"/>
      <c r="R161" s="3005"/>
      <c r="S161" s="3007"/>
      <c r="Z161" s="1618">
        <v>161</v>
      </c>
    </row>
    <row r="162" spans="1:26" s="144" customFormat="1" ht="15" customHeight="1" thickBot="1">
      <c r="B162" s="475" t="s">
        <v>3764</v>
      </c>
      <c r="C162" s="2973" t="s">
        <v>4370</v>
      </c>
      <c r="D162" s="2974"/>
      <c r="E162" s="2974"/>
      <c r="F162" s="2974"/>
      <c r="G162" s="2975"/>
      <c r="H162" s="1157" t="s">
        <v>3714</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4371</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3132</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3714</v>
      </c>
      <c r="J171" s="476" t="s">
        <v>3714</v>
      </c>
      <c r="K171" s="476"/>
      <c r="L171" s="637"/>
      <c r="M171" s="481" t="s">
        <v>3714</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3714</v>
      </c>
      <c r="J172" s="477" t="s">
        <v>3714</v>
      </c>
      <c r="K172" s="477"/>
      <c r="L172" s="638"/>
      <c r="M172" s="482" t="s">
        <v>3714</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3714</v>
      </c>
      <c r="J173" s="477" t="s">
        <v>3714</v>
      </c>
      <c r="K173" s="477"/>
      <c r="L173" s="638"/>
      <c r="M173" s="482" t="s">
        <v>3714</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3714</v>
      </c>
      <c r="J174" s="477" t="s">
        <v>3714</v>
      </c>
      <c r="K174" s="477"/>
      <c r="L174" s="638"/>
      <c r="M174" s="482" t="s">
        <v>3714</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3714</v>
      </c>
      <c r="J175" s="477" t="s">
        <v>3714</v>
      </c>
      <c r="K175" s="477"/>
      <c r="L175" s="638"/>
      <c r="M175" s="482" t="s">
        <v>3714</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3714</v>
      </c>
      <c r="J176" s="477" t="s">
        <v>3714</v>
      </c>
      <c r="K176" s="477"/>
      <c r="L176" s="638"/>
      <c r="M176" s="482" t="s">
        <v>3714</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3714</v>
      </c>
      <c r="J177" s="477" t="s">
        <v>3714</v>
      </c>
      <c r="K177" s="477"/>
      <c r="L177" s="638"/>
      <c r="M177" s="482" t="s">
        <v>3714</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3714</v>
      </c>
      <c r="J178" s="477" t="s">
        <v>3714</v>
      </c>
      <c r="K178" s="477"/>
      <c r="L178" s="638"/>
      <c r="M178" s="482" t="s">
        <v>3714</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3714</v>
      </c>
      <c r="J179" s="477" t="s">
        <v>3714</v>
      </c>
      <c r="K179" s="477"/>
      <c r="L179" s="638"/>
      <c r="M179" s="482" t="s">
        <v>3714</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3714</v>
      </c>
      <c r="J180" s="477" t="s">
        <v>3714</v>
      </c>
      <c r="K180" s="477"/>
      <c r="L180" s="638"/>
      <c r="M180" s="482" t="s">
        <v>3714</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3714</v>
      </c>
      <c r="J181" s="477" t="s">
        <v>3714</v>
      </c>
      <c r="K181" s="477"/>
      <c r="L181" s="638"/>
      <c r="M181" s="482" t="s">
        <v>3714</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3714</v>
      </c>
      <c r="J182" s="477" t="s">
        <v>3714</v>
      </c>
      <c r="K182" s="477"/>
      <c r="L182" s="638"/>
      <c r="M182" s="482" t="s">
        <v>3714</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3714</v>
      </c>
      <c r="J183" s="478" t="s">
        <v>3714</v>
      </c>
      <c r="K183" s="478"/>
      <c r="L183" s="639"/>
      <c r="M183" s="483" t="s">
        <v>3714</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Pinecrest Village</v>
      </c>
    </row>
    <row r="2" spans="1:14">
      <c r="A2" s="549" t="s">
        <v>2873</v>
      </c>
      <c r="H2" s="431" t="str">
        <f>'Sensitivity Analysis'!E8</f>
        <v>2024-0</v>
      </c>
    </row>
    <row r="3" spans="1:14" ht="3" customHeight="1"/>
    <row r="4" spans="1:14" ht="69.599999999999994" customHeight="1">
      <c r="A4" s="4730" t="s">
        <v>2911</v>
      </c>
      <c r="B4" s="4730"/>
      <c r="C4" s="4730"/>
      <c r="D4" s="4730"/>
      <c r="E4" s="4730"/>
      <c r="F4" s="4730"/>
      <c r="G4" s="4730"/>
      <c r="H4" s="4730"/>
      <c r="I4" s="4730"/>
      <c r="J4" s="4730"/>
      <c r="K4" s="4730"/>
      <c r="L4" s="4737">
        <f>SUM('Part VI-Pro Forma'!B15:B17)/12</f>
        <v>32157.539999999997</v>
      </c>
      <c r="M4" s="4737"/>
      <c r="N4" s="1408" t="s">
        <v>3542</v>
      </c>
    </row>
    <row r="5" spans="1:14" ht="1.5" customHeight="1"/>
    <row r="6" spans="1:14" ht="12.75" customHeight="1">
      <c r="B6" s="623" t="s">
        <v>2234</v>
      </c>
      <c r="C6" s="605" t="s">
        <v>2874</v>
      </c>
      <c r="D6" s="605"/>
      <c r="E6" s="605"/>
      <c r="F6" s="605"/>
      <c r="G6" s="605"/>
      <c r="H6" s="605"/>
    </row>
    <row r="7" spans="1:14" ht="12.75" customHeight="1">
      <c r="B7" s="623" t="s">
        <v>2235</v>
      </c>
      <c r="C7" s="4730" t="s">
        <v>2875</v>
      </c>
      <c r="D7" s="4730"/>
      <c r="E7" s="4730"/>
      <c r="F7" s="4730"/>
      <c r="G7" s="4730"/>
      <c r="H7" s="4730"/>
      <c r="I7" s="4730"/>
      <c r="J7" s="4730"/>
      <c r="K7" s="4730"/>
      <c r="L7" s="4730"/>
      <c r="M7" s="4730"/>
    </row>
    <row r="8" spans="1:14" ht="3" customHeight="1"/>
    <row r="9" spans="1:14">
      <c r="A9" s="431" t="s">
        <v>2876</v>
      </c>
    </row>
    <row r="10" spans="1:14" ht="1.5" customHeight="1"/>
    <row r="11" spans="1:14" ht="26.25" customHeight="1">
      <c r="A11" s="624" t="s">
        <v>1836</v>
      </c>
      <c r="B11" s="4730" t="s">
        <v>2908</v>
      </c>
      <c r="C11" s="4730"/>
      <c r="D11" s="4730"/>
      <c r="E11" s="4730"/>
      <c r="F11" s="4730"/>
      <c r="G11" s="4730"/>
      <c r="H11" s="4730"/>
      <c r="I11" s="4730"/>
      <c r="J11" s="4730"/>
      <c r="K11" s="4730"/>
      <c r="L11" s="4731">
        <f>'Part II-Sources of Funds'!I51+'Part II-Sources of Funds'!I52</f>
        <v>14736476</v>
      </c>
      <c r="M11" s="4731"/>
    </row>
    <row r="12" spans="1:14" ht="1.5" customHeight="1">
      <c r="G12" s="605"/>
      <c r="H12" s="605"/>
    </row>
    <row r="13" spans="1:14" ht="25.9" customHeight="1">
      <c r="A13" s="624" t="s">
        <v>1838</v>
      </c>
      <c r="B13" s="4730" t="s">
        <v>2909</v>
      </c>
      <c r="C13" s="4730"/>
      <c r="D13" s="4730"/>
      <c r="E13" s="4730"/>
      <c r="F13" s="4730"/>
      <c r="G13" s="4730"/>
      <c r="H13" s="4730"/>
      <c r="I13" s="4730"/>
      <c r="J13" s="4730"/>
      <c r="K13" s="4730"/>
      <c r="L13" s="4732" t="s">
        <v>2804</v>
      </c>
      <c r="M13" s="4732"/>
    </row>
    <row r="14" spans="1:14">
      <c r="A14" s="624"/>
      <c r="B14" s="4696"/>
      <c r="C14" s="4696"/>
      <c r="D14" s="4696"/>
      <c r="E14" s="4696"/>
      <c r="F14" s="4696"/>
      <c r="G14" s="4696"/>
      <c r="H14" s="4696"/>
    </row>
    <row r="15" spans="1:14" ht="3" customHeight="1"/>
    <row r="16" spans="1:14">
      <c r="A16" s="624" t="s">
        <v>697</v>
      </c>
      <c r="B16" s="431" t="s">
        <v>2912</v>
      </c>
      <c r="L16" s="4733" t="s">
        <v>2644</v>
      </c>
      <c r="M16" s="4733"/>
    </row>
    <row r="17" spans="1:19" ht="1.5" customHeight="1">
      <c r="L17" s="608"/>
    </row>
    <row r="18" spans="1:19" ht="12" customHeight="1">
      <c r="A18" s="624" t="s">
        <v>1957</v>
      </c>
      <c r="B18" s="605" t="s">
        <v>2910</v>
      </c>
      <c r="C18" s="624"/>
      <c r="D18" s="624"/>
      <c r="E18" s="624"/>
      <c r="L18" s="4696" t="s">
        <v>2507</v>
      </c>
      <c r="M18" s="4696"/>
    </row>
    <row r="19" spans="1:19" ht="12" hidden="1" customHeight="1">
      <c r="B19" s="4696"/>
      <c r="C19" s="4696"/>
      <c r="D19" s="4696"/>
      <c r="E19" s="4696"/>
      <c r="F19" s="4696"/>
      <c r="G19" s="4696"/>
      <c r="H19" s="4696"/>
    </row>
    <row r="20" spans="1:19" ht="13.5" customHeight="1"/>
    <row r="21" spans="1:19" ht="12" customHeight="1">
      <c r="A21" s="549" t="s">
        <v>2877</v>
      </c>
    </row>
    <row r="22" spans="1:19" ht="3" customHeight="1"/>
    <row r="23" spans="1:19" ht="42.6" customHeight="1">
      <c r="A23" s="4734" t="s">
        <v>3949</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2</v>
      </c>
      <c r="G26" s="1499">
        <f>'Part V-Revenues &amp; Expenses'!M57</f>
        <v>8</v>
      </c>
      <c r="H26" s="1499">
        <f>'Part V-Revenues &amp; Expenses'!N57</f>
        <v>6</v>
      </c>
      <c r="I26" s="1499">
        <f>'Part V-Revenues &amp; Expenses'!O57</f>
        <v>0</v>
      </c>
      <c r="J26" s="2457">
        <f>'Part V-Revenues &amp; Expenses'!P57</f>
        <v>16</v>
      </c>
      <c r="K26" s="431"/>
      <c r="S26" s="431"/>
    </row>
    <row r="27" spans="1:19" ht="15" customHeight="1">
      <c r="C27" s="723" t="s">
        <v>1080</v>
      </c>
      <c r="D27" s="438"/>
      <c r="E27" s="1498">
        <f>'Part V-Revenues &amp; Expenses'!K58</f>
        <v>0</v>
      </c>
      <c r="F27" s="1499">
        <f>'Part V-Revenues &amp; Expenses'!L58</f>
        <v>1</v>
      </c>
      <c r="G27" s="1499">
        <f>'Part V-Revenues &amp; Expenses'!M58</f>
        <v>3</v>
      </c>
      <c r="H27" s="1499">
        <f>'Part V-Revenues &amp; Expenses'!N58</f>
        <v>2</v>
      </c>
      <c r="I27" s="1499">
        <f>'Part V-Revenues &amp; Expenses'!O58</f>
        <v>0</v>
      </c>
      <c r="J27" s="2457">
        <f>'Part V-Revenues &amp; Expenses'!P58</f>
        <v>6</v>
      </c>
      <c r="K27" s="431"/>
      <c r="S27" s="431"/>
    </row>
    <row r="28" spans="1:19" ht="15" customHeight="1">
      <c r="C28" s="723" t="s">
        <v>112</v>
      </c>
      <c r="D28" s="438"/>
      <c r="E28" s="1498">
        <f>'Part V-Revenues &amp; Expenses'!K59</f>
        <v>0</v>
      </c>
      <c r="F28" s="1499">
        <f>'Part V-Revenues &amp; Expenses'!L59</f>
        <v>3</v>
      </c>
      <c r="G28" s="1499">
        <f>'Part V-Revenues &amp; Expenses'!M59</f>
        <v>13</v>
      </c>
      <c r="H28" s="1499">
        <f>'Part V-Revenues &amp; Expenses'!N59</f>
        <v>10</v>
      </c>
      <c r="I28" s="1499">
        <f>'Part V-Revenues &amp; Expenses'!O59</f>
        <v>0</v>
      </c>
      <c r="J28" s="2457">
        <f>'Part V-Revenues &amp; Expenses'!P59</f>
        <v>26</v>
      </c>
      <c r="K28" s="431"/>
      <c r="S28" s="431"/>
    </row>
    <row r="29" spans="1:19" ht="13.1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6</v>
      </c>
      <c r="G32" s="2459">
        <f>'Part V-Revenues &amp; Expenses'!M63</f>
        <v>24</v>
      </c>
      <c r="H32" s="2459">
        <f>'Part V-Revenues &amp; Expenses'!N63</f>
        <v>18</v>
      </c>
      <c r="I32" s="2459">
        <f>'Part V-Revenues &amp; Expenses'!O63</f>
        <v>0</v>
      </c>
      <c r="J32" s="1500">
        <f>'Part V-Revenues &amp; Expenses'!P63</f>
        <v>48</v>
      </c>
      <c r="K32" s="431"/>
      <c r="S32" s="431"/>
    </row>
    <row r="33" spans="1:12" s="431" customFormat="1" ht="13.15" customHeight="1" thickBot="1">
      <c r="K33" s="1407"/>
    </row>
    <row r="34" spans="1:12" s="431" customFormat="1" ht="14.25" customHeight="1" thickBot="1">
      <c r="A34" s="1407"/>
      <c r="B34" s="4744" t="s">
        <v>4068</v>
      </c>
      <c r="E34" s="4745" t="s">
        <v>3968</v>
      </c>
      <c r="F34" s="4746"/>
      <c r="G34" s="4746"/>
      <c r="H34" s="4746"/>
      <c r="I34" s="4746"/>
      <c r="J34" s="4746"/>
      <c r="K34" s="4746"/>
      <c r="L34" s="4747"/>
    </row>
    <row r="35" spans="1:12" s="431" customFormat="1" ht="14.25" customHeight="1">
      <c r="A35" s="1407"/>
      <c r="B35" s="4744"/>
      <c r="C35" s="4748" t="s">
        <v>4069</v>
      </c>
      <c r="D35" s="4744" t="s">
        <v>4070</v>
      </c>
      <c r="E35" s="4749" t="s">
        <v>3971</v>
      </c>
      <c r="F35" s="4750"/>
      <c r="G35" s="4753" t="s">
        <v>1273</v>
      </c>
      <c r="H35" s="4755" t="s">
        <v>3967</v>
      </c>
      <c r="I35" s="4756"/>
      <c r="J35" s="4756"/>
      <c r="K35" s="4756"/>
      <c r="L35" s="4757"/>
    </row>
    <row r="36" spans="1:12" s="431" customFormat="1" ht="23.25" customHeight="1">
      <c r="A36" s="4748" t="s">
        <v>974</v>
      </c>
      <c r="B36" s="4744"/>
      <c r="C36" s="4748"/>
      <c r="D36" s="4744"/>
      <c r="E36" s="4751"/>
      <c r="F36" s="4752"/>
      <c r="G36" s="4754"/>
      <c r="H36" s="4758" t="s">
        <v>3969</v>
      </c>
      <c r="I36" s="4759"/>
      <c r="J36" s="4762" t="s">
        <v>1273</v>
      </c>
      <c r="K36" s="4759" t="s">
        <v>3970</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15" customHeight="1">
      <c r="A39" s="1486">
        <f>'Part V-Revenues &amp; Expenses'!B18</f>
        <v>50</v>
      </c>
      <c r="B39" s="1487">
        <f>'Part V-Revenues &amp; Expenses'!E18</f>
        <v>3</v>
      </c>
      <c r="C39" s="1488" t="str">
        <f>_xlfn.CONCAT('Part V-Revenues &amp; Expenses'!C18," / ",'Part V-Revenues &amp; Expenses'!D18)</f>
        <v>1 / 1</v>
      </c>
      <c r="D39" s="1487">
        <f>'Part V-Revenues &amp; Expenses'!F18</f>
        <v>708</v>
      </c>
      <c r="E39" s="4742">
        <f>'Part V-Revenues &amp; Expenses'!H18</f>
        <v>648</v>
      </c>
      <c r="F39" s="4743"/>
      <c r="G39" s="438"/>
      <c r="H39" s="4769"/>
      <c r="I39" s="4770"/>
      <c r="J39" s="4770"/>
      <c r="K39" s="4770"/>
      <c r="L39" s="4771"/>
    </row>
    <row r="40" spans="1:12" s="431" customFormat="1" ht="13.15" customHeight="1">
      <c r="A40" s="1489">
        <f>'Part V-Revenues &amp; Expenses'!B19</f>
        <v>50</v>
      </c>
      <c r="B40" s="1490">
        <f>'Part V-Revenues &amp; Expenses'!E19</f>
        <v>13</v>
      </c>
      <c r="C40" s="1491" t="str">
        <f>_xlfn.CONCAT('Part V-Revenues &amp; Expenses'!C19," / ",'Part V-Revenues &amp; Expenses'!D19)</f>
        <v>2 / 2</v>
      </c>
      <c r="D40" s="1490">
        <f>'Part V-Revenues &amp; Expenses'!F19</f>
        <v>943</v>
      </c>
      <c r="E40" s="4740">
        <f>'Part V-Revenues &amp; Expenses'!H19</f>
        <v>778</v>
      </c>
      <c r="F40" s="4741"/>
      <c r="G40" s="438"/>
      <c r="H40" s="4766"/>
      <c r="I40" s="4767"/>
      <c r="J40" s="4767"/>
      <c r="K40" s="4767"/>
      <c r="L40" s="4768"/>
    </row>
    <row r="41" spans="1:12" s="431" customFormat="1" ht="13.15" customHeight="1">
      <c r="A41" s="1489">
        <f>'Part V-Revenues &amp; Expenses'!B20</f>
        <v>50</v>
      </c>
      <c r="B41" s="1490">
        <f>'Part V-Revenues &amp; Expenses'!E20</f>
        <v>10</v>
      </c>
      <c r="C41" s="1491" t="str">
        <f>_xlfn.CONCAT('Part V-Revenues &amp; Expenses'!C20," / ",'Part V-Revenues &amp; Expenses'!D20)</f>
        <v>3 / 2</v>
      </c>
      <c r="D41" s="1490">
        <f>'Part V-Revenues &amp; Expenses'!F20</f>
        <v>1122</v>
      </c>
      <c r="E41" s="4740">
        <f>'Part V-Revenues &amp; Expenses'!H20</f>
        <v>895</v>
      </c>
      <c r="F41" s="4741"/>
      <c r="G41" s="438"/>
      <c r="H41" s="4766"/>
      <c r="I41" s="4767"/>
      <c r="J41" s="4767"/>
      <c r="K41" s="4767"/>
      <c r="L41" s="4768"/>
    </row>
    <row r="42" spans="1:12" s="431" customFormat="1" ht="13.15" customHeight="1">
      <c r="A42" s="1489">
        <f>'Part V-Revenues &amp; Expenses'!B21</f>
        <v>60</v>
      </c>
      <c r="B42" s="1490">
        <f>'Part V-Revenues &amp; Expenses'!E21</f>
        <v>1</v>
      </c>
      <c r="C42" s="1491" t="str">
        <f>_xlfn.CONCAT('Part V-Revenues &amp; Expenses'!C21," / ",'Part V-Revenues &amp; Expenses'!D21)</f>
        <v>1 / 1</v>
      </c>
      <c r="D42" s="1490">
        <f>'Part V-Revenues &amp; Expenses'!F21</f>
        <v>708</v>
      </c>
      <c r="E42" s="4740">
        <f>'Part V-Revenues &amp; Expenses'!H21</f>
        <v>723</v>
      </c>
      <c r="F42" s="4741"/>
      <c r="G42" s="438"/>
      <c r="H42" s="4766"/>
      <c r="I42" s="4767"/>
      <c r="J42" s="4767"/>
      <c r="K42" s="4767"/>
      <c r="L42" s="4768"/>
    </row>
    <row r="43" spans="1:12" s="431" customFormat="1" ht="13.15" customHeight="1">
      <c r="A43" s="1489">
        <f>'Part V-Revenues &amp; Expenses'!B22</f>
        <v>60</v>
      </c>
      <c r="B43" s="1490">
        <f>'Part V-Revenues &amp; Expenses'!E22</f>
        <v>3</v>
      </c>
      <c r="C43" s="1491" t="str">
        <f>_xlfn.CONCAT('Part V-Revenues &amp; Expenses'!C22," / ",'Part V-Revenues &amp; Expenses'!D22)</f>
        <v>2 / 2</v>
      </c>
      <c r="D43" s="1490">
        <f>'Part V-Revenues &amp; Expenses'!F22</f>
        <v>943</v>
      </c>
      <c r="E43" s="4740">
        <f>'Part V-Revenues &amp; Expenses'!H22</f>
        <v>853</v>
      </c>
      <c r="F43" s="4741"/>
      <c r="G43" s="438"/>
      <c r="H43" s="4766"/>
      <c r="I43" s="4767"/>
      <c r="J43" s="4767"/>
      <c r="K43" s="4767"/>
      <c r="L43" s="4768"/>
    </row>
    <row r="44" spans="1:12" s="431" customFormat="1" ht="13.15" customHeight="1">
      <c r="A44" s="1489">
        <f>'Part V-Revenues &amp; Expenses'!B23</f>
        <v>60</v>
      </c>
      <c r="B44" s="1490">
        <f>'Part V-Revenues &amp; Expenses'!E23</f>
        <v>2</v>
      </c>
      <c r="C44" s="1491" t="str">
        <f>_xlfn.CONCAT('Part V-Revenues &amp; Expenses'!C23," / ",'Part V-Revenues &amp; Expenses'!D23)</f>
        <v>3 / 2</v>
      </c>
      <c r="D44" s="1490">
        <f>'Part V-Revenues &amp; Expenses'!F23</f>
        <v>1122</v>
      </c>
      <c r="E44" s="4740">
        <f>'Part V-Revenues &amp; Expenses'!H23</f>
        <v>985</v>
      </c>
      <c r="F44" s="4741"/>
      <c r="G44" s="438"/>
      <c r="H44" s="4766"/>
      <c r="I44" s="4767"/>
      <c r="J44" s="4767"/>
      <c r="K44" s="4767"/>
      <c r="L44" s="4768"/>
    </row>
    <row r="45" spans="1:12" s="431" customFormat="1" ht="13.15" customHeight="1">
      <c r="A45" s="1489">
        <f>'Part V-Revenues &amp; Expenses'!B24</f>
        <v>70</v>
      </c>
      <c r="B45" s="1490">
        <f>'Part V-Revenues &amp; Expenses'!E24</f>
        <v>2</v>
      </c>
      <c r="C45" s="1491" t="str">
        <f>_xlfn.CONCAT('Part V-Revenues &amp; Expenses'!C24," / ",'Part V-Revenues &amp; Expenses'!D24)</f>
        <v>1 / 1</v>
      </c>
      <c r="D45" s="1490">
        <f>'Part V-Revenues &amp; Expenses'!F24</f>
        <v>708</v>
      </c>
      <c r="E45" s="4740">
        <f>'Part V-Revenues &amp; Expenses'!H24</f>
        <v>798</v>
      </c>
      <c r="F45" s="4741"/>
      <c r="G45" s="438"/>
      <c r="H45" s="4766"/>
      <c r="I45" s="4767"/>
      <c r="J45" s="4767"/>
      <c r="K45" s="4767"/>
      <c r="L45" s="4768"/>
    </row>
    <row r="46" spans="1:12" s="431" customFormat="1" ht="13.15" customHeight="1">
      <c r="A46" s="1489">
        <f>'Part V-Revenues &amp; Expenses'!B25</f>
        <v>70</v>
      </c>
      <c r="B46" s="1490">
        <f>'Part V-Revenues &amp; Expenses'!E25</f>
        <v>8</v>
      </c>
      <c r="C46" s="1491" t="str">
        <f>_xlfn.CONCAT('Part V-Revenues &amp; Expenses'!C25," / ",'Part V-Revenues &amp; Expenses'!D25)</f>
        <v>2 / 2</v>
      </c>
      <c r="D46" s="1490">
        <f>'Part V-Revenues &amp; Expenses'!F25</f>
        <v>943</v>
      </c>
      <c r="E46" s="4740">
        <f>'Part V-Revenues &amp; Expenses'!H25</f>
        <v>928</v>
      </c>
      <c r="F46" s="4741"/>
      <c r="G46" s="438"/>
      <c r="H46" s="4766"/>
      <c r="I46" s="4767"/>
      <c r="J46" s="4767"/>
      <c r="K46" s="4767"/>
      <c r="L46" s="4768"/>
    </row>
    <row r="47" spans="1:12" s="431" customFormat="1" ht="13.15" customHeight="1">
      <c r="A47" s="1489">
        <f>'Part V-Revenues &amp; Expenses'!B26</f>
        <v>70</v>
      </c>
      <c r="B47" s="1490">
        <f>'Part V-Revenues &amp; Expenses'!E26</f>
        <v>6</v>
      </c>
      <c r="C47" s="1491" t="str">
        <f>_xlfn.CONCAT('Part V-Revenues &amp; Expenses'!C26," / ",'Part V-Revenues &amp; Expenses'!D26)</f>
        <v>3 / 2</v>
      </c>
      <c r="D47" s="1490">
        <f>'Part V-Revenues &amp; Expenses'!F26</f>
        <v>1122</v>
      </c>
      <c r="E47" s="4740">
        <f>'Part V-Revenues &amp; Expenses'!H26</f>
        <v>1060</v>
      </c>
      <c r="F47" s="4741"/>
      <c r="G47" s="438"/>
      <c r="H47" s="4766"/>
      <c r="I47" s="4767"/>
      <c r="J47" s="4767"/>
      <c r="K47" s="4767"/>
      <c r="L47" s="4768"/>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66"/>
      <c r="I48" s="4767"/>
      <c r="J48" s="4767"/>
      <c r="K48" s="4767"/>
      <c r="L48" s="4768"/>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66"/>
      <c r="I49" s="4767"/>
      <c r="J49" s="4767"/>
      <c r="K49" s="4767"/>
      <c r="L49" s="4768"/>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66"/>
      <c r="I50" s="4767"/>
      <c r="J50" s="4767"/>
      <c r="K50" s="4767"/>
      <c r="L50" s="4768"/>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673</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4766</v>
      </c>
      <c r="B7" s="225"/>
      <c r="C7" s="147"/>
      <c r="D7" s="147"/>
      <c r="E7" s="144"/>
      <c r="F7" s="147" t="s">
        <v>4767</v>
      </c>
      <c r="G7" s="147"/>
      <c r="H7" s="144"/>
      <c r="I7" s="144"/>
      <c r="J7" s="147" t="s">
        <v>4768</v>
      </c>
      <c r="K7" s="147"/>
      <c r="L7" s="147" t="s">
        <v>4769</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4765</v>
      </c>
      <c r="B9" s="147"/>
      <c r="C9" s="147"/>
      <c r="D9" s="144"/>
      <c r="E9" s="144"/>
      <c r="F9" s="147" t="s">
        <v>4767</v>
      </c>
      <c r="G9" s="147"/>
      <c r="H9" s="144"/>
      <c r="I9" s="144"/>
      <c r="J9" s="147" t="s">
        <v>4770</v>
      </c>
      <c r="K9" s="147"/>
      <c r="L9" s="147" t="s">
        <v>4778</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4771</v>
      </c>
      <c r="K10" s="147"/>
      <c r="L10" s="147" t="s">
        <v>4778</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4777</v>
      </c>
      <c r="R12" s="2083" t="s">
        <v>4776</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4143</v>
      </c>
      <c r="K13" s="147"/>
      <c r="L13" s="147" t="s">
        <v>4764</v>
      </c>
      <c r="M13" s="147"/>
      <c r="N13" s="147" t="s">
        <v>4772</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4773</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4774</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4775</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4779</v>
      </c>
      <c r="K18" s="147"/>
      <c r="L18" s="147" t="s">
        <v>4781</v>
      </c>
      <c r="M18" s="147"/>
      <c r="N18" s="147"/>
      <c r="O18" s="147"/>
      <c r="P18" s="147"/>
      <c r="Q18" s="2057" t="s">
        <v>4780</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4786</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4787</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780" t="s">
        <v>4512</v>
      </c>
      <c r="R24" s="4781"/>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4" t="s">
        <v>3782</v>
      </c>
      <c r="R26" s="4784"/>
      <c r="S26" s="144"/>
      <c r="T26" s="144"/>
      <c r="U26" s="144"/>
      <c r="AA26" s="68"/>
      <c r="AB26" s="68"/>
    </row>
    <row r="27" spans="1:28" s="145" customFormat="1" ht="12.75" hidden="1" customHeight="1">
      <c r="A27" s="147"/>
      <c r="B27" s="147"/>
      <c r="C27" s="147"/>
      <c r="K27" s="236" t="s">
        <v>3783</v>
      </c>
      <c r="L27" s="236"/>
      <c r="N27" s="234"/>
      <c r="O27" s="147"/>
      <c r="P27" s="144"/>
      <c r="Q27" s="4785">
        <v>0.2</v>
      </c>
      <c r="R27" s="4786"/>
      <c r="S27" s="144"/>
      <c r="T27" s="144"/>
      <c r="U27" s="144"/>
      <c r="AA27" s="68"/>
      <c r="AB27" s="68"/>
    </row>
    <row r="28" spans="1:28" s="145" customFormat="1" ht="12.75" hidden="1" customHeight="1">
      <c r="A28" s="147"/>
      <c r="B28" s="147"/>
      <c r="C28" s="147"/>
      <c r="K28" s="236" t="s">
        <v>3784</v>
      </c>
      <c r="L28" s="236"/>
      <c r="N28" s="234"/>
      <c r="O28" s="147"/>
      <c r="P28" s="144"/>
      <c r="Q28" s="4775">
        <v>0.15</v>
      </c>
      <c r="R28" s="4776"/>
      <c r="S28" s="144"/>
      <c r="T28" s="144"/>
      <c r="U28" s="144"/>
      <c r="AA28" s="68"/>
      <c r="AB28" s="68"/>
    </row>
    <row r="29" spans="1:28" s="145" customFormat="1" ht="12.75" hidden="1" customHeight="1">
      <c r="A29" s="147"/>
      <c r="B29" s="147"/>
      <c r="C29" s="147"/>
      <c r="K29" s="236" t="s">
        <v>3785</v>
      </c>
      <c r="L29" s="236"/>
      <c r="N29" s="234"/>
      <c r="O29" s="147"/>
      <c r="P29" s="144"/>
      <c r="Q29" s="4775">
        <v>0.15</v>
      </c>
      <c r="R29" s="4776"/>
      <c r="S29" s="144"/>
      <c r="T29" s="144"/>
      <c r="U29" s="144"/>
      <c r="AA29" s="68"/>
      <c r="AB29" s="68"/>
    </row>
    <row r="30" spans="1:28" s="145" customFormat="1" ht="12.75" hidden="1" customHeight="1">
      <c r="A30" s="147"/>
      <c r="B30" s="147"/>
      <c r="C30" s="147"/>
      <c r="K30" s="236" t="s">
        <v>3786</v>
      </c>
      <c r="L30" s="236"/>
      <c r="N30" s="234"/>
      <c r="O30" s="147"/>
      <c r="P30" s="144"/>
      <c r="Q30" s="4775">
        <v>0.1</v>
      </c>
      <c r="R30" s="4776"/>
      <c r="S30" s="144"/>
      <c r="T30" s="144"/>
      <c r="U30" s="144"/>
      <c r="AA30" s="68"/>
      <c r="AB30" s="68"/>
    </row>
    <row r="31" spans="1:28" s="145" customFormat="1" ht="12.75" hidden="1" customHeight="1">
      <c r="A31" s="147"/>
      <c r="B31" s="147"/>
      <c r="C31" s="147"/>
      <c r="K31" s="236" t="s">
        <v>3787</v>
      </c>
      <c r="L31" s="236"/>
      <c r="N31" s="234"/>
      <c r="O31" s="147"/>
      <c r="P31" s="144"/>
      <c r="Q31" s="4789">
        <v>0.1</v>
      </c>
      <c r="R31" s="4790"/>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4782</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4872</v>
      </c>
      <c r="D57" s="147"/>
      <c r="E57" s="144"/>
      <c r="F57" s="236" t="s">
        <v>4876</v>
      </c>
      <c r="G57" s="147"/>
      <c r="H57" s="144"/>
      <c r="I57" s="144"/>
      <c r="K57" s="147"/>
      <c r="L57" s="147"/>
      <c r="M57" s="147"/>
      <c r="N57" s="147"/>
      <c r="O57" s="147"/>
      <c r="P57" s="144"/>
      <c r="Q57" s="4791">
        <v>2000</v>
      </c>
      <c r="R57" s="4792"/>
      <c r="S57" s="236"/>
      <c r="T57" s="236"/>
      <c r="U57" s="236"/>
      <c r="AA57" s="68"/>
      <c r="AB57" s="68"/>
    </row>
    <row r="58" spans="1:28" s="145" customFormat="1" ht="11.65" customHeight="1">
      <c r="A58" s="147"/>
      <c r="B58" s="147"/>
      <c r="C58" s="236" t="s">
        <v>4873</v>
      </c>
      <c r="D58" s="147"/>
      <c r="E58" s="144"/>
      <c r="F58" s="147" t="s">
        <v>4874</v>
      </c>
      <c r="G58" s="147"/>
      <c r="H58" s="144"/>
      <c r="I58" s="144"/>
      <c r="J58" s="147" t="s">
        <v>4877</v>
      </c>
      <c r="K58" s="147"/>
      <c r="L58" s="147"/>
      <c r="M58" s="147" t="s">
        <v>1125</v>
      </c>
      <c r="N58" s="147"/>
      <c r="O58" s="147"/>
      <c r="P58" s="144"/>
      <c r="Q58" s="4793">
        <v>10000</v>
      </c>
      <c r="R58" s="4794"/>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787">
        <v>8000</v>
      </c>
      <c r="R59" s="4788"/>
      <c r="S59" s="236"/>
      <c r="T59" s="236"/>
      <c r="U59" s="236"/>
      <c r="AA59" s="68"/>
      <c r="AB59" s="68"/>
    </row>
    <row r="60" spans="1:28" s="145" customFormat="1" ht="11.65" customHeight="1">
      <c r="A60" s="147"/>
      <c r="B60" s="147"/>
      <c r="C60" s="147"/>
      <c r="D60" s="147"/>
      <c r="E60" s="144"/>
      <c r="G60" s="147"/>
      <c r="H60" s="144"/>
      <c r="I60" s="144"/>
      <c r="J60" s="236" t="s">
        <v>4875</v>
      </c>
      <c r="K60" s="147"/>
      <c r="L60" s="147"/>
      <c r="M60" s="147" t="s">
        <v>1125</v>
      </c>
      <c r="N60" s="147"/>
      <c r="O60" s="147"/>
      <c r="P60" s="144"/>
      <c r="Q60" s="4787">
        <v>10000</v>
      </c>
      <c r="R60" s="4788"/>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795">
        <v>8000</v>
      </c>
      <c r="R61" s="4796"/>
      <c r="S61" s="236"/>
      <c r="T61" s="236"/>
      <c r="U61" s="236"/>
      <c r="AA61" s="68"/>
      <c r="AB61" s="68"/>
    </row>
    <row r="62" spans="1:28" s="145" customFormat="1" ht="11.65" customHeight="1">
      <c r="A62" s="147"/>
      <c r="B62" s="147"/>
      <c r="C62" s="147" t="s">
        <v>4878</v>
      </c>
      <c r="D62" s="147"/>
      <c r="E62" s="144"/>
      <c r="F62" s="147" t="s">
        <v>3233</v>
      </c>
      <c r="G62" s="147"/>
      <c r="H62" s="144"/>
      <c r="I62" s="144"/>
      <c r="K62" s="147"/>
      <c r="L62" s="147"/>
      <c r="M62" s="147"/>
      <c r="N62" s="147"/>
      <c r="O62" s="147"/>
      <c r="P62" s="144"/>
      <c r="Q62" s="4793">
        <v>2500</v>
      </c>
      <c r="R62" s="4794"/>
      <c r="S62" s="236"/>
      <c r="T62" s="236"/>
      <c r="U62" s="236"/>
      <c r="AA62" s="68"/>
      <c r="AB62" s="68"/>
    </row>
    <row r="63" spans="1:28" s="145" customFormat="1" ht="11.65" customHeight="1">
      <c r="A63" s="147"/>
      <c r="B63" s="147"/>
      <c r="C63" s="147"/>
      <c r="D63" s="147"/>
      <c r="E63" s="144"/>
      <c r="F63" s="147" t="s">
        <v>3232</v>
      </c>
      <c r="G63" s="147"/>
      <c r="H63" s="144"/>
      <c r="I63" s="144"/>
      <c r="K63" s="147"/>
      <c r="L63" s="147"/>
      <c r="M63" s="147"/>
      <c r="N63" s="147"/>
      <c r="O63" s="147"/>
      <c r="P63" s="144"/>
      <c r="Q63" s="4787">
        <v>2500</v>
      </c>
      <c r="R63" s="4788"/>
      <c r="S63" s="236"/>
      <c r="T63" s="236"/>
      <c r="U63" s="236"/>
      <c r="AA63" s="68"/>
      <c r="AB63" s="68"/>
    </row>
    <row r="64" spans="1:28" s="145" customFormat="1" ht="11.65" customHeight="1">
      <c r="A64" s="147"/>
      <c r="B64" s="147"/>
      <c r="C64" s="147"/>
      <c r="D64" s="147"/>
      <c r="E64" s="144"/>
      <c r="F64" s="236" t="s">
        <v>4879</v>
      </c>
      <c r="G64" s="147"/>
      <c r="H64" s="144"/>
      <c r="I64" s="144"/>
      <c r="Q64" s="4787">
        <v>1500</v>
      </c>
      <c r="R64" s="4788"/>
      <c r="S64" s="236"/>
      <c r="T64" s="236"/>
      <c r="U64" s="236"/>
      <c r="AA64" s="68"/>
      <c r="AB64" s="68"/>
    </row>
    <row r="65" spans="1:28" s="145" customFormat="1" ht="11.65" customHeight="1">
      <c r="A65" s="144"/>
      <c r="B65" s="236"/>
      <c r="C65" s="147"/>
      <c r="D65" s="147"/>
      <c r="E65" s="144"/>
      <c r="F65" s="147" t="s">
        <v>4880</v>
      </c>
      <c r="G65" s="147"/>
      <c r="H65" s="144"/>
      <c r="I65" s="144"/>
      <c r="J65" s="147" t="s">
        <v>4881</v>
      </c>
      <c r="K65" s="147"/>
      <c r="L65" s="147"/>
      <c r="M65" s="147"/>
      <c r="N65" s="147"/>
      <c r="O65" s="147"/>
      <c r="P65" s="144"/>
      <c r="Q65" s="4787">
        <v>15000</v>
      </c>
      <c r="R65" s="4788"/>
      <c r="S65" s="236"/>
      <c r="T65" s="236"/>
      <c r="U65" s="236"/>
      <c r="AA65" s="68"/>
      <c r="AB65" s="68"/>
    </row>
    <row r="66" spans="1:28" s="145" customFormat="1" ht="11.65" customHeight="1">
      <c r="A66" s="147"/>
      <c r="B66" s="147"/>
      <c r="C66" s="147"/>
      <c r="D66" s="147"/>
      <c r="E66" s="144"/>
      <c r="F66" s="147" t="s">
        <v>3234</v>
      </c>
      <c r="G66" s="147"/>
      <c r="H66" s="144"/>
      <c r="I66" s="144"/>
      <c r="K66" s="147"/>
      <c r="L66" s="147"/>
      <c r="M66" s="147"/>
      <c r="N66" s="147"/>
      <c r="O66" s="147"/>
      <c r="P66" s="144"/>
      <c r="Q66" s="4799">
        <v>1500</v>
      </c>
      <c r="R66" s="4800"/>
      <c r="S66" s="236"/>
      <c r="T66" s="236"/>
      <c r="U66" s="236"/>
      <c r="AA66" s="68"/>
      <c r="AB66" s="68"/>
    </row>
    <row r="67" spans="1:28" s="145" customFormat="1" ht="11.65" customHeight="1">
      <c r="A67" s="144"/>
      <c r="B67" s="236"/>
      <c r="C67" s="147"/>
      <c r="D67" s="147"/>
      <c r="E67" s="144"/>
      <c r="F67" s="147" t="s">
        <v>4882</v>
      </c>
      <c r="G67" s="147"/>
      <c r="H67" s="144"/>
      <c r="I67" s="144"/>
      <c r="J67" s="147"/>
      <c r="K67" s="147"/>
      <c r="L67" s="147"/>
      <c r="M67" s="147"/>
      <c r="N67" s="147"/>
      <c r="O67" s="147"/>
      <c r="P67" s="144"/>
      <c r="Q67" s="4801" t="s">
        <v>4884</v>
      </c>
      <c r="R67" s="4802"/>
      <c r="S67" s="236"/>
      <c r="T67" s="236"/>
      <c r="U67" s="236"/>
      <c r="AA67" s="68"/>
      <c r="AB67" s="68"/>
    </row>
    <row r="68" spans="1:28" s="145" customFormat="1" ht="11.65" customHeight="1">
      <c r="A68" s="144"/>
      <c r="B68" s="236"/>
      <c r="C68" s="147"/>
      <c r="D68" s="147"/>
      <c r="E68" s="144"/>
      <c r="F68" s="147" t="s">
        <v>4883</v>
      </c>
      <c r="G68" s="147"/>
      <c r="H68" s="144"/>
      <c r="I68" s="144"/>
      <c r="J68" s="147"/>
      <c r="K68" s="147"/>
      <c r="L68" s="147"/>
      <c r="M68" s="147"/>
      <c r="N68" s="147"/>
      <c r="O68" s="147"/>
      <c r="P68" s="144"/>
      <c r="Q68" s="4803" t="s">
        <v>4884</v>
      </c>
      <c r="R68" s="4804"/>
      <c r="S68" s="236"/>
      <c r="T68" s="236"/>
      <c r="U68" s="236"/>
      <c r="AA68" s="68"/>
      <c r="AB68" s="68"/>
    </row>
    <row r="69" spans="1:28" s="145" customFormat="1" ht="11.65" customHeight="1">
      <c r="A69" s="147"/>
      <c r="B69" s="147"/>
      <c r="D69" s="147"/>
      <c r="E69" s="144"/>
      <c r="F69" s="147" t="s">
        <v>3231</v>
      </c>
      <c r="G69" s="147"/>
      <c r="H69" s="144"/>
      <c r="I69" s="144"/>
      <c r="J69" s="147"/>
      <c r="K69" s="147"/>
      <c r="L69" s="147"/>
      <c r="M69" s="147"/>
      <c r="N69" s="147"/>
      <c r="O69" s="147"/>
      <c r="P69" s="144"/>
      <c r="Q69" s="4805">
        <v>1500</v>
      </c>
      <c r="R69" s="4806"/>
      <c r="S69" s="236"/>
      <c r="T69" s="236"/>
      <c r="U69" s="236"/>
      <c r="AA69" s="68"/>
      <c r="AB69" s="68"/>
    </row>
    <row r="70" spans="1:28" s="145" customFormat="1" ht="11.65" customHeight="1">
      <c r="A70" s="147"/>
      <c r="C70" s="147" t="s">
        <v>4885</v>
      </c>
      <c r="D70" s="144"/>
      <c r="E70" s="144"/>
      <c r="F70" s="147" t="s">
        <v>4649</v>
      </c>
      <c r="H70" s="147"/>
      <c r="I70" s="144"/>
      <c r="J70" s="147" t="s">
        <v>888</v>
      </c>
      <c r="K70" s="147"/>
      <c r="L70" s="147"/>
      <c r="M70" s="147"/>
      <c r="N70" s="147"/>
      <c r="O70" s="147"/>
      <c r="P70" s="144"/>
      <c r="Q70" s="4807">
        <v>0.08</v>
      </c>
      <c r="R70" s="4807"/>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808">
        <v>0.08</v>
      </c>
      <c r="R71" s="4808"/>
      <c r="S71" s="236"/>
      <c r="T71" s="236"/>
      <c r="U71" s="236"/>
      <c r="AA71" s="68"/>
      <c r="AB71" s="68"/>
    </row>
    <row r="72" spans="1:28" s="145" customFormat="1" ht="11.65" customHeight="1">
      <c r="A72" s="147"/>
      <c r="C72" s="147"/>
      <c r="D72" s="144"/>
      <c r="E72" s="144"/>
      <c r="F72" s="147" t="s">
        <v>4886</v>
      </c>
      <c r="H72" s="147"/>
      <c r="I72" s="144"/>
      <c r="J72" s="147"/>
      <c r="K72" s="147"/>
      <c r="L72" s="147"/>
      <c r="M72" s="147"/>
      <c r="N72" s="147"/>
      <c r="O72" s="147"/>
      <c r="P72" s="144"/>
      <c r="Q72" s="4787">
        <v>2500</v>
      </c>
      <c r="R72" s="4788"/>
      <c r="S72" s="236"/>
      <c r="T72" s="236"/>
      <c r="U72" s="236"/>
      <c r="AA72" s="68"/>
      <c r="AB72" s="68"/>
    </row>
    <row r="73" spans="1:28" s="145" customFormat="1" ht="11.65" customHeight="1">
      <c r="A73" s="147"/>
      <c r="B73" s="147"/>
      <c r="C73" s="147"/>
      <c r="D73" s="144"/>
      <c r="E73" s="144"/>
      <c r="F73" s="147" t="s">
        <v>4650</v>
      </c>
      <c r="I73" s="144"/>
      <c r="J73" s="147" t="s">
        <v>1635</v>
      </c>
      <c r="K73" s="147"/>
      <c r="L73" s="147"/>
      <c r="M73" s="147"/>
      <c r="N73" s="147"/>
      <c r="O73" s="147"/>
      <c r="P73" s="144"/>
      <c r="Q73" s="4787">
        <v>8000</v>
      </c>
      <c r="R73" s="4788"/>
      <c r="S73" s="236"/>
      <c r="T73" s="236"/>
      <c r="U73" s="236"/>
      <c r="AA73" s="68"/>
      <c r="AB73" s="68"/>
    </row>
    <row r="74" spans="1:28" s="145" customFormat="1" ht="11.65" customHeight="1">
      <c r="A74" s="147"/>
      <c r="C74" s="147" t="s">
        <v>4651</v>
      </c>
      <c r="D74" s="144"/>
      <c r="E74" s="144"/>
      <c r="F74" s="147" t="s">
        <v>889</v>
      </c>
      <c r="H74" s="147" t="s">
        <v>1502</v>
      </c>
      <c r="I74" s="144"/>
      <c r="J74" s="147" t="s">
        <v>1430</v>
      </c>
      <c r="K74" s="147"/>
      <c r="L74" s="147"/>
      <c r="M74" s="147"/>
      <c r="N74" s="147"/>
      <c r="O74" s="147"/>
      <c r="P74" s="144"/>
      <c r="Q74" s="4787">
        <v>800</v>
      </c>
      <c r="R74" s="4788"/>
      <c r="S74" s="236"/>
      <c r="T74" s="236"/>
      <c r="U74" s="236"/>
      <c r="AA74" s="68"/>
      <c r="AB74" s="68"/>
    </row>
    <row r="75" spans="1:28" s="145" customFormat="1" ht="11.65" customHeight="1">
      <c r="A75" s="147"/>
      <c r="C75" s="147"/>
      <c r="D75" s="144"/>
      <c r="E75" s="144"/>
      <c r="F75" s="147"/>
      <c r="H75" s="147"/>
      <c r="I75" s="147" t="s">
        <v>3653</v>
      </c>
      <c r="J75" s="147" t="s">
        <v>1430</v>
      </c>
      <c r="K75" s="147"/>
      <c r="L75" s="147"/>
      <c r="M75" s="147"/>
      <c r="N75" s="147"/>
      <c r="O75" s="147"/>
      <c r="P75" s="144"/>
      <c r="Q75" s="4787">
        <v>1000</v>
      </c>
      <c r="R75" s="4788"/>
      <c r="S75" s="236"/>
      <c r="T75" s="236"/>
      <c r="U75" s="236"/>
      <c r="AA75" s="68"/>
      <c r="AB75" s="68"/>
    </row>
    <row r="76" spans="1:28" s="145" customFormat="1" ht="11.65" customHeight="1">
      <c r="A76" s="147"/>
      <c r="B76" s="147"/>
      <c r="C76" s="147"/>
      <c r="D76" s="144"/>
      <c r="E76" s="144"/>
      <c r="H76" s="147" t="s">
        <v>2440</v>
      </c>
      <c r="I76" s="144"/>
      <c r="J76" s="147" t="s">
        <v>1430</v>
      </c>
      <c r="K76" s="147" t="s">
        <v>3212</v>
      </c>
      <c r="L76" s="147"/>
      <c r="M76" s="147"/>
      <c r="N76" s="147"/>
      <c r="O76" s="147"/>
      <c r="P76" s="144"/>
      <c r="Q76" s="4797">
        <v>800</v>
      </c>
      <c r="R76" s="4798"/>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797">
        <v>1500</v>
      </c>
      <c r="R77" s="4798"/>
      <c r="S77" s="236"/>
      <c r="T77" s="236"/>
      <c r="U77" s="236"/>
      <c r="AA77" s="68"/>
      <c r="AB77" s="68"/>
    </row>
    <row r="78" spans="1:28" s="145" customFormat="1" ht="11.65" customHeight="1">
      <c r="A78" s="147"/>
      <c r="B78" s="147"/>
      <c r="C78" s="147"/>
      <c r="D78" s="147"/>
      <c r="E78" s="144"/>
      <c r="F78" s="147" t="s">
        <v>4887</v>
      </c>
      <c r="H78" s="144"/>
      <c r="I78" s="144"/>
      <c r="J78" s="147" t="s">
        <v>3652</v>
      </c>
      <c r="K78" s="147"/>
      <c r="L78" s="147"/>
      <c r="M78" s="147"/>
      <c r="N78" s="147"/>
      <c r="O78" s="147"/>
      <c r="P78" s="144"/>
      <c r="Q78" s="4795">
        <v>1500</v>
      </c>
      <c r="R78" s="4796"/>
      <c r="S78" s="236"/>
      <c r="T78" s="236"/>
      <c r="U78" s="236"/>
      <c r="AA78" s="68"/>
      <c r="AB78" s="68"/>
    </row>
    <row r="79" spans="1:28" s="145" customFormat="1" ht="11.65" customHeight="1">
      <c r="A79" s="147"/>
      <c r="B79" s="147"/>
      <c r="C79" s="147"/>
      <c r="D79" s="144"/>
      <c r="E79" s="144"/>
      <c r="F79" s="147" t="s">
        <v>3323</v>
      </c>
      <c r="I79" s="144"/>
      <c r="J79" s="147" t="s">
        <v>3654</v>
      </c>
      <c r="K79" s="147"/>
      <c r="L79" s="147"/>
      <c r="M79" s="147"/>
      <c r="N79" s="147"/>
      <c r="O79" s="147"/>
      <c r="P79" s="144"/>
      <c r="Q79" s="4811">
        <v>750</v>
      </c>
      <c r="R79" s="4812"/>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13">
        <v>75</v>
      </c>
      <c r="R80" s="4814"/>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3790</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9">
        <v>3500000</v>
      </c>
      <c r="R92" s="4810"/>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18">
        <v>0.15</v>
      </c>
      <c r="R93" s="4819"/>
      <c r="S93" s="236"/>
      <c r="T93" s="236"/>
      <c r="U93" s="236"/>
      <c r="AA93" s="68"/>
      <c r="AB93" s="68"/>
    </row>
    <row r="94" spans="1:28" s="145" customFormat="1" ht="13.5" hidden="1">
      <c r="A94" s="147"/>
      <c r="B94" s="314"/>
      <c r="C94" s="147"/>
      <c r="D94" s="144"/>
      <c r="E94" s="144"/>
      <c r="F94" s="147"/>
      <c r="G94" s="147"/>
      <c r="H94" s="147" t="s">
        <v>3077</v>
      </c>
      <c r="I94" s="147" t="s">
        <v>907</v>
      </c>
      <c r="J94" s="147" t="s">
        <v>909</v>
      </c>
      <c r="K94" s="147"/>
      <c r="L94" s="147"/>
      <c r="M94" s="147"/>
      <c r="N94" s="147"/>
      <c r="O94" s="147"/>
      <c r="P94" s="144"/>
      <c r="Q94" s="4818">
        <v>0.15</v>
      </c>
      <c r="R94" s="481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8">
        <v>0.15</v>
      </c>
      <c r="R95" s="481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8">
        <v>0.15</v>
      </c>
      <c r="R96" s="481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8">
        <v>0.15</v>
      </c>
      <c r="R97" s="481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18">
        <v>0.15</v>
      </c>
      <c r="R98" s="481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18" t="s">
        <v>2184</v>
      </c>
      <c r="R99" s="481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13">
        <v>3000</v>
      </c>
      <c r="R105" s="4814"/>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4648</v>
      </c>
      <c r="K113" s="147"/>
      <c r="L113" s="147"/>
      <c r="M113" s="147"/>
      <c r="N113" s="147"/>
      <c r="O113" s="147"/>
      <c r="P113" s="144"/>
      <c r="Q113" s="4820">
        <v>0.02</v>
      </c>
      <c r="R113" s="4820"/>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7">
        <v>0.02</v>
      </c>
      <c r="R114" s="4807"/>
      <c r="AA114" s="68"/>
      <c r="AB114" s="68"/>
    </row>
    <row r="115" spans="1:28" s="236" customFormat="1" ht="11.65" customHeight="1">
      <c r="A115" s="147"/>
      <c r="B115" s="147" t="s">
        <v>4785</v>
      </c>
      <c r="C115" s="147"/>
      <c r="D115" s="147"/>
      <c r="E115" s="147"/>
      <c r="F115" s="147" t="s">
        <v>4783</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4784</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808">
        <v>0.03</v>
      </c>
      <c r="R117" s="4808"/>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808">
        <v>0.03</v>
      </c>
      <c r="R118" s="4808"/>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826">
        <v>0</v>
      </c>
      <c r="R119" s="4826"/>
      <c r="S119" s="236"/>
      <c r="T119" s="236"/>
      <c r="U119" s="236"/>
      <c r="AA119" s="68"/>
      <c r="AB119" s="68"/>
    </row>
    <row r="120" spans="1:28" s="145" customFormat="1" ht="11.45" customHeight="1">
      <c r="A120" s="144"/>
      <c r="B120" s="147" t="s">
        <v>4788</v>
      </c>
      <c r="C120" s="147"/>
      <c r="D120" s="147"/>
      <c r="E120" s="144"/>
      <c r="F120" s="147" t="s">
        <v>4789</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4790</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4759</v>
      </c>
      <c r="G125" s="147" t="s">
        <v>3221</v>
      </c>
      <c r="I125" s="144"/>
      <c r="J125" s="241" t="s">
        <v>4838</v>
      </c>
      <c r="K125" s="147"/>
      <c r="L125" s="147"/>
      <c r="M125" s="147"/>
      <c r="N125" s="147"/>
      <c r="P125" s="144"/>
      <c r="Q125" s="4821"/>
      <c r="R125" s="4821"/>
      <c r="S125" s="4821"/>
      <c r="T125" s="4821"/>
      <c r="U125" s="144"/>
      <c r="V125" s="702"/>
      <c r="W125" s="702"/>
      <c r="X125" s="148"/>
      <c r="AA125" s="68"/>
      <c r="AB125" s="68"/>
    </row>
    <row r="126" spans="1:28" s="145" customFormat="1" ht="11.65" customHeight="1">
      <c r="A126" s="229"/>
      <c r="B126" s="147"/>
      <c r="C126" s="147"/>
      <c r="D126" s="144"/>
      <c r="F126" s="147"/>
      <c r="G126" s="147" t="s">
        <v>3651</v>
      </c>
      <c r="I126" s="144"/>
      <c r="J126" s="241" t="s">
        <v>4839</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4758</v>
      </c>
      <c r="F128" s="147" t="s">
        <v>477</v>
      </c>
      <c r="G128" s="147" t="s">
        <v>2387</v>
      </c>
      <c r="I128" s="144"/>
      <c r="J128" s="147" t="s">
        <v>2438</v>
      </c>
      <c r="K128" s="147"/>
      <c r="L128" s="147"/>
      <c r="M128" s="147"/>
      <c r="N128" s="147"/>
      <c r="O128" s="147"/>
      <c r="P128" s="144"/>
      <c r="Q128" s="4822">
        <v>0.15</v>
      </c>
      <c r="R128" s="4822"/>
      <c r="S128" s="144"/>
      <c r="T128" s="144"/>
      <c r="U128" s="144"/>
      <c r="V128" s="702"/>
      <c r="W128" s="702"/>
      <c r="X128" s="148"/>
      <c r="AA128" s="68"/>
      <c r="AB128" s="68"/>
    </row>
    <row r="129" spans="1:28" s="145" customFormat="1" ht="11.65" customHeight="1">
      <c r="A129" s="147"/>
      <c r="B129" s="147"/>
      <c r="C129" s="147"/>
      <c r="D129" s="144"/>
      <c r="E129" s="144"/>
      <c r="F129" s="147"/>
      <c r="G129" s="147" t="s">
        <v>4402</v>
      </c>
      <c r="H129" s="147" t="s">
        <v>4753</v>
      </c>
      <c r="J129" s="147" t="s">
        <v>4409</v>
      </c>
      <c r="K129" s="147"/>
      <c r="L129" s="147"/>
      <c r="M129" s="147"/>
      <c r="O129" s="231" t="s">
        <v>4840</v>
      </c>
      <c r="P129" s="144"/>
      <c r="Q129" s="4823">
        <v>1105000</v>
      </c>
      <c r="R129" s="4823"/>
      <c r="S129" s="230"/>
      <c r="T129" s="230"/>
      <c r="U129" s="144"/>
      <c r="V129" s="321"/>
      <c r="W129" s="321"/>
      <c r="X129" s="321"/>
      <c r="AA129" s="68"/>
      <c r="AB129" s="68"/>
    </row>
    <row r="130" spans="1:28" s="145" customFormat="1" ht="11.65" customHeight="1">
      <c r="A130" s="147"/>
      <c r="B130" s="147"/>
      <c r="C130" s="147"/>
      <c r="D130" s="144"/>
      <c r="E130" s="144"/>
      <c r="F130" s="147"/>
      <c r="G130" s="147"/>
      <c r="H130" s="147" t="s">
        <v>4000</v>
      </c>
      <c r="J130" s="147" t="s">
        <v>4409</v>
      </c>
      <c r="K130" s="147"/>
      <c r="L130" s="147"/>
      <c r="M130" s="147"/>
      <c r="O130" s="231" t="s">
        <v>4841</v>
      </c>
      <c r="P130" s="144"/>
      <c r="Q130" s="4827">
        <v>1225000</v>
      </c>
      <c r="R130" s="4827"/>
      <c r="S130" s="230"/>
      <c r="T130" s="230"/>
      <c r="U130" s="144"/>
      <c r="V130" s="321"/>
      <c r="W130" s="321"/>
      <c r="X130" s="321"/>
      <c r="AA130" s="68"/>
      <c r="AB130" s="68"/>
    </row>
    <row r="131" spans="1:28" s="145" customFormat="1" ht="11.65" customHeight="1">
      <c r="A131" s="147"/>
      <c r="B131" s="147"/>
      <c r="C131" s="147"/>
      <c r="D131" s="144"/>
      <c r="E131" s="144"/>
      <c r="F131" s="147"/>
      <c r="G131" s="147"/>
      <c r="H131" s="147" t="s">
        <v>4404</v>
      </c>
      <c r="I131" s="144"/>
      <c r="J131" s="147" t="s">
        <v>4409</v>
      </c>
      <c r="K131" s="147"/>
      <c r="O131" s="231" t="s">
        <v>4842</v>
      </c>
      <c r="Q131" s="4827">
        <v>1105000</v>
      </c>
      <c r="R131" s="4827"/>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4409</v>
      </c>
      <c r="K132" s="147"/>
      <c r="O132" s="231" t="s">
        <v>4841</v>
      </c>
      <c r="Q132" s="4828">
        <v>1105000</v>
      </c>
      <c r="R132" s="4829"/>
      <c r="S132" s="230"/>
      <c r="T132" s="230"/>
      <c r="U132" s="144"/>
      <c r="V132" s="321"/>
      <c r="W132" s="321"/>
      <c r="X132" s="321"/>
      <c r="AA132" s="68"/>
      <c r="AB132" s="68"/>
    </row>
    <row r="133" spans="1:28" s="145" customFormat="1" ht="11.65" customHeight="1">
      <c r="A133" s="147"/>
      <c r="B133" s="147"/>
      <c r="C133" s="147"/>
      <c r="D133" s="144"/>
      <c r="E133" s="144"/>
      <c r="F133" s="147"/>
      <c r="G133" s="147" t="s">
        <v>4764</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7">
        <v>0.35</v>
      </c>
      <c r="K134" s="4807"/>
      <c r="L134" s="147"/>
      <c r="M134" s="147"/>
      <c r="N134" s="147"/>
      <c r="O134" s="147"/>
      <c r="P134" s="147"/>
      <c r="Q134" s="147"/>
      <c r="R134" s="147"/>
    </row>
    <row r="135" spans="1:28" ht="11.25" customHeight="1">
      <c r="G135" s="147"/>
      <c r="H135" s="147" t="s">
        <v>4001</v>
      </c>
      <c r="I135" s="144"/>
      <c r="J135" s="4808">
        <v>0.35</v>
      </c>
      <c r="K135" s="4808"/>
      <c r="L135" s="147"/>
      <c r="M135" s="147"/>
      <c r="N135" s="147"/>
      <c r="O135" s="147"/>
      <c r="P135" s="147"/>
      <c r="Q135" s="147"/>
      <c r="R135" s="147"/>
    </row>
    <row r="136" spans="1:28" ht="11.25" customHeight="1">
      <c r="A136" s="229"/>
      <c r="G136" s="147"/>
      <c r="H136" s="147" t="s">
        <v>2938</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4760</v>
      </c>
      <c r="E138" s="144"/>
      <c r="G138" s="147" t="s">
        <v>4754</v>
      </c>
      <c r="I138" s="144"/>
      <c r="J138" s="147" t="s">
        <v>4755</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4757</v>
      </c>
      <c r="I139" s="144"/>
      <c r="J139" s="147" t="s">
        <v>4756</v>
      </c>
      <c r="P139" s="646" t="s">
        <v>4843</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4761</v>
      </c>
      <c r="I140" s="144"/>
      <c r="J140" s="147" t="s">
        <v>4762</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4763</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4408</v>
      </c>
      <c r="H143" s="147"/>
      <c r="I143" s="144"/>
      <c r="J143" s="147" t="s">
        <v>4410</v>
      </c>
      <c r="K143" s="147"/>
      <c r="L143" s="147"/>
      <c r="M143" s="147"/>
      <c r="N143" s="147"/>
      <c r="O143" s="147"/>
      <c r="P143" s="144"/>
      <c r="Q143" s="4831"/>
      <c r="R143" s="4832"/>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3227</v>
      </c>
      <c r="K144" s="147"/>
      <c r="L144" s="147"/>
      <c r="M144" s="147"/>
      <c r="N144" s="147"/>
      <c r="O144" s="147"/>
      <c r="P144" s="144"/>
      <c r="Q144" s="4833">
        <v>4000000</v>
      </c>
      <c r="R144" s="4833"/>
      <c r="S144" s="230"/>
      <c r="T144" s="230"/>
      <c r="U144" s="144"/>
      <c r="V144" s="321"/>
      <c r="W144" s="321"/>
      <c r="X144" s="321"/>
      <c r="AA144" s="68"/>
      <c r="AB144" s="68"/>
    </row>
    <row r="145" spans="1:28" s="145" customFormat="1" ht="11.65" customHeight="1">
      <c r="A145" s="147"/>
      <c r="B145" s="147"/>
      <c r="C145" s="147"/>
      <c r="D145" s="144"/>
      <c r="E145" s="144"/>
      <c r="F145" s="147"/>
      <c r="G145" s="147" t="s">
        <v>4407</v>
      </c>
      <c r="H145" s="144"/>
      <c r="I145" s="144"/>
      <c r="J145" s="147" t="s">
        <v>4409</v>
      </c>
      <c r="K145" s="147"/>
      <c r="O145" s="147" t="s">
        <v>4405</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4646</v>
      </c>
      <c r="B150" s="4835"/>
      <c r="C150" s="1910"/>
      <c r="D150" s="4836" t="s">
        <v>4645</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5">
      <c r="A152" s="4835"/>
      <c r="B152" s="4835"/>
      <c r="C152" s="147"/>
      <c r="D152" s="4837"/>
      <c r="H152" s="4838" t="s">
        <v>4644</v>
      </c>
      <c r="J152" s="142" t="s">
        <v>747</v>
      </c>
      <c r="K152" s="142"/>
      <c r="L152" s="223"/>
    </row>
    <row r="153" spans="1:28" ht="13.5">
      <c r="A153" s="4835"/>
      <c r="B153" s="4835"/>
      <c r="C153" s="702" t="s">
        <v>750</v>
      </c>
      <c r="D153" s="1241" t="s">
        <v>2923</v>
      </c>
      <c r="F153" s="702" t="s">
        <v>4642</v>
      </c>
      <c r="H153" s="4839"/>
      <c r="J153" s="312" t="s">
        <v>750</v>
      </c>
      <c r="K153" s="312" t="s">
        <v>748</v>
      </c>
      <c r="L153" s="313" t="s">
        <v>749</v>
      </c>
    </row>
    <row r="154" spans="1:28" ht="10.5" customHeight="1">
      <c r="C154" s="321">
        <v>0</v>
      </c>
      <c r="D154" s="650">
        <v>72088</v>
      </c>
      <c r="E154" s="1243" t="s">
        <v>4643</v>
      </c>
      <c r="F154" s="1909">
        <v>2.4</v>
      </c>
      <c r="G154" s="878" t="s">
        <v>1210</v>
      </c>
      <c r="H154" s="1911">
        <f>D154*F154</f>
        <v>173011.19999999998</v>
      </c>
      <c r="J154" s="321">
        <v>0</v>
      </c>
      <c r="K154" s="321">
        <v>0.7</v>
      </c>
      <c r="L154" s="321">
        <v>1</v>
      </c>
    </row>
    <row r="155" spans="1:28" ht="10.5" customHeight="1">
      <c r="C155" s="321">
        <v>1</v>
      </c>
      <c r="D155" s="650">
        <v>82638</v>
      </c>
      <c r="E155" s="1243" t="s">
        <v>4643</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4643</v>
      </c>
      <c r="F156" s="1909">
        <v>2.4</v>
      </c>
      <c r="G156" s="878" t="s">
        <v>1210</v>
      </c>
      <c r="H156" s="1911">
        <f t="shared" si="0"/>
        <v>241176</v>
      </c>
      <c r="J156" s="321">
        <v>2</v>
      </c>
      <c r="K156" s="321">
        <v>0.9</v>
      </c>
      <c r="L156" s="321">
        <v>3</v>
      </c>
    </row>
    <row r="157" spans="1:28" ht="10.5" customHeight="1">
      <c r="C157" s="321">
        <v>3</v>
      </c>
      <c r="D157" s="650">
        <v>130002</v>
      </c>
      <c r="E157" s="1243" t="s">
        <v>4643</v>
      </c>
      <c r="F157" s="1909">
        <v>2.4</v>
      </c>
      <c r="G157" s="878" t="s">
        <v>1210</v>
      </c>
      <c r="H157" s="1911">
        <f t="shared" si="0"/>
        <v>312004.8</v>
      </c>
      <c r="J157" s="321">
        <v>3</v>
      </c>
      <c r="K157" s="321">
        <v>1.04</v>
      </c>
      <c r="L157" s="321">
        <v>4.5</v>
      </c>
    </row>
    <row r="158" spans="1:28" ht="10.5" customHeight="1">
      <c r="C158" s="321" t="s">
        <v>2924</v>
      </c>
      <c r="D158" s="650">
        <v>142701</v>
      </c>
      <c r="E158" s="1243" t="s">
        <v>4643</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3312</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4618</v>
      </c>
      <c r="J169" s="777" t="s">
        <v>2394</v>
      </c>
      <c r="K169" s="775" t="s">
        <v>4619</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4620</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4620</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4621</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4622</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4620</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4623</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4620</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4620</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4620</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4622</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4620</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4621</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4620</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4620</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4620</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4620</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4620</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4620</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4620</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4623</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4620</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4620</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4624</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4620</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4621</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4625</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4623</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4622</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4623</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4620</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4620</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4626</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4620</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4620</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4622</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4620</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4620</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4627</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4628</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4621</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4620</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8" workbookViewId="0">
      <selection activeCell="L62" sqref="L6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Pinecrest Village, Douglas, Coffee County</v>
      </c>
      <c r="B2" s="3064"/>
      <c r="C2" s="3064"/>
      <c r="D2" s="3064"/>
      <c r="E2" s="3064"/>
      <c r="F2" s="3064"/>
      <c r="G2" s="3064"/>
      <c r="H2" s="3064"/>
      <c r="I2" s="3064"/>
      <c r="J2" s="3064"/>
      <c r="K2" s="3064"/>
      <c r="L2" s="3064"/>
      <c r="M2" s="3064"/>
      <c r="N2" s="3064"/>
      <c r="O2" s="3064"/>
      <c r="P2" s="3064"/>
      <c r="Q2" s="3065"/>
      <c r="S2" s="3096" t="str">
        <f>$A$2</f>
        <v>PART TWO - SOURCES OF FUNDS (Proposed)  -  2024-0 Pinecrest Village, Douglas, Coffee County</v>
      </c>
      <c r="T2" s="3096"/>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t="s">
        <v>2644</v>
      </c>
      <c r="F6" s="224" t="s">
        <v>3980</v>
      </c>
      <c r="G6" s="144"/>
      <c r="I6" s="3101"/>
      <c r="J6" s="3102"/>
      <c r="L6" s="1173" t="s">
        <v>2644</v>
      </c>
      <c r="M6" s="224" t="s">
        <v>1435</v>
      </c>
      <c r="Q6" s="1532"/>
      <c r="S6" s="3081"/>
      <c r="T6" s="3082"/>
      <c r="Y6" s="2475"/>
      <c r="Z6" s="1618">
        <v>6</v>
      </c>
      <c r="AZ6" s="1588"/>
    </row>
    <row r="7" spans="1:52" s="223" customFormat="1" ht="16.5" customHeight="1">
      <c r="A7" s="374"/>
      <c r="B7" s="810" t="s">
        <v>2644</v>
      </c>
      <c r="C7" s="224" t="s">
        <v>3752</v>
      </c>
      <c r="D7" s="144"/>
      <c r="E7" s="805" t="s">
        <v>2644</v>
      </c>
      <c r="F7" s="224" t="s">
        <v>3981</v>
      </c>
      <c r="I7" s="3103"/>
      <c r="J7" s="3104"/>
      <c r="L7" s="810" t="s">
        <v>2644</v>
      </c>
      <c r="M7" s="224" t="s">
        <v>513</v>
      </c>
      <c r="P7" s="1532"/>
      <c r="Q7" s="1532"/>
      <c r="S7" s="3083"/>
      <c r="T7" s="3084"/>
      <c r="Y7" s="2475"/>
      <c r="Z7" s="1618">
        <v>7</v>
      </c>
      <c r="AZ7" s="1588"/>
    </row>
    <row r="8" spans="1:52" s="223" customFormat="1" ht="16.5" customHeight="1">
      <c r="A8" s="144"/>
      <c r="B8" s="810" t="s">
        <v>2644</v>
      </c>
      <c r="C8" s="224" t="s">
        <v>4554</v>
      </c>
      <c r="F8" s="223" t="s">
        <v>4557</v>
      </c>
      <c r="H8" s="3105" t="s">
        <v>2981</v>
      </c>
      <c r="I8" s="3106"/>
      <c r="J8" s="3107"/>
      <c r="L8" s="810" t="s">
        <v>2644</v>
      </c>
      <c r="M8" s="224" t="s">
        <v>4559</v>
      </c>
      <c r="P8" s="1532"/>
      <c r="Q8" s="1532"/>
      <c r="S8" s="3083"/>
      <c r="T8" s="3084"/>
      <c r="Y8" s="2475"/>
      <c r="Z8" s="1618">
        <v>8</v>
      </c>
      <c r="AZ8" s="1588"/>
    </row>
    <row r="9" spans="1:52" s="223" customFormat="1" ht="16.5" customHeight="1">
      <c r="A9" s="374"/>
      <c r="B9" s="810" t="s">
        <v>2644</v>
      </c>
      <c r="C9" s="223" t="s">
        <v>3215</v>
      </c>
      <c r="E9" s="1176" t="s">
        <v>2644</v>
      </c>
      <c r="F9" s="3108" t="s">
        <v>4553</v>
      </c>
      <c r="G9" s="3109"/>
      <c r="H9" s="3087"/>
      <c r="I9" s="3087"/>
      <c r="J9" s="3088"/>
      <c r="L9" s="810" t="s">
        <v>2644</v>
      </c>
      <c r="M9" s="224" t="s">
        <v>3753</v>
      </c>
      <c r="Q9" s="1532"/>
      <c r="S9" s="3085"/>
      <c r="T9" s="3086"/>
      <c r="Y9" s="2475"/>
      <c r="Z9" s="1618">
        <v>9</v>
      </c>
      <c r="AZ9" s="1588"/>
    </row>
    <row r="10" spans="1:52" s="223" customFormat="1" ht="16.5" customHeight="1">
      <c r="A10" s="374"/>
      <c r="B10" s="810" t="s">
        <v>2644</v>
      </c>
      <c r="C10" s="224" t="s">
        <v>2388</v>
      </c>
      <c r="F10" s="3078" t="s">
        <v>3648</v>
      </c>
      <c r="G10" s="3079"/>
      <c r="H10" s="3079"/>
      <c r="I10" s="3079"/>
      <c r="J10" s="3080"/>
      <c r="L10" s="810" t="s">
        <v>2644</v>
      </c>
      <c r="M10" s="224" t="s">
        <v>3107</v>
      </c>
      <c r="P10" s="1532"/>
      <c r="Q10" s="1532"/>
      <c r="S10" s="3081"/>
      <c r="T10" s="3082"/>
      <c r="Y10" s="2475"/>
      <c r="Z10" s="1618">
        <v>10</v>
      </c>
      <c r="AZ10" s="1588"/>
    </row>
    <row r="11" spans="1:52" s="223" customFormat="1" ht="16.5" customHeight="1">
      <c r="A11" s="374"/>
      <c r="B11" s="810" t="s">
        <v>2644</v>
      </c>
      <c r="C11" s="224" t="s">
        <v>2389</v>
      </c>
      <c r="E11" s="1176" t="s">
        <v>2644</v>
      </c>
      <c r="F11" s="3087" t="s">
        <v>4555</v>
      </c>
      <c r="G11" s="3087"/>
      <c r="H11" s="3087"/>
      <c r="I11" s="3087"/>
      <c r="J11" s="3088"/>
      <c r="L11" s="810" t="s">
        <v>2644</v>
      </c>
      <c r="M11" s="223" t="s">
        <v>2392</v>
      </c>
      <c r="S11" s="3083"/>
      <c r="T11" s="3084"/>
      <c r="Y11" s="2475"/>
      <c r="Z11" s="1618">
        <v>11</v>
      </c>
      <c r="AZ11" s="1588"/>
    </row>
    <row r="12" spans="1:52" s="223" customFormat="1" ht="16.5" customHeight="1">
      <c r="A12" s="374"/>
      <c r="B12" s="810" t="s">
        <v>2644</v>
      </c>
      <c r="C12" s="224" t="s">
        <v>3108</v>
      </c>
      <c r="F12" s="3089" t="s">
        <v>3649</v>
      </c>
      <c r="G12" s="3090"/>
      <c r="H12" s="3091"/>
      <c r="I12" s="3091"/>
      <c r="J12" s="3092"/>
      <c r="L12" s="810" t="s">
        <v>2644</v>
      </c>
      <c r="M12" s="223" t="s">
        <v>3134</v>
      </c>
      <c r="S12" s="3083"/>
      <c r="T12" s="3084"/>
      <c r="Y12" s="2475"/>
      <c r="Z12" s="1618">
        <v>12</v>
      </c>
      <c r="AZ12" s="1588"/>
    </row>
    <row r="13" spans="1:52" s="223" customFormat="1" ht="16.5" customHeight="1">
      <c r="A13" s="374"/>
      <c r="B13" s="810" t="s">
        <v>2644</v>
      </c>
      <c r="C13" s="224" t="s">
        <v>4556</v>
      </c>
      <c r="E13" s="1173" t="s">
        <v>2644</v>
      </c>
      <c r="F13" s="224" t="s">
        <v>4558</v>
      </c>
      <c r="H13" s="3089" t="s">
        <v>3206</v>
      </c>
      <c r="I13" s="3090"/>
      <c r="J13" s="3093"/>
      <c r="L13" s="810" t="s">
        <v>2644</v>
      </c>
      <c r="M13" s="223" t="s">
        <v>3979</v>
      </c>
      <c r="S13" s="3083"/>
      <c r="T13" s="3084"/>
      <c r="Y13" s="2475"/>
      <c r="Z13" s="1618">
        <v>13</v>
      </c>
      <c r="AZ13" s="1588"/>
    </row>
    <row r="14" spans="1:52" s="223" customFormat="1" ht="16.5" customHeight="1">
      <c r="A14" s="374"/>
      <c r="B14" s="810" t="s">
        <v>2644</v>
      </c>
      <c r="C14" s="223" t="s">
        <v>2391</v>
      </c>
      <c r="E14" s="810" t="s">
        <v>2644</v>
      </c>
      <c r="F14" s="224" t="s">
        <v>3214</v>
      </c>
      <c r="L14" s="810" t="s">
        <v>2644</v>
      </c>
      <c r="M14" s="223" t="s">
        <v>4604</v>
      </c>
      <c r="S14" s="3085"/>
      <c r="T14" s="3086"/>
      <c r="Y14" s="2475"/>
      <c r="Z14" s="1618">
        <v>14</v>
      </c>
      <c r="AZ14" s="1588"/>
    </row>
    <row r="15" spans="1:52" s="223" customFormat="1" ht="16.5" customHeight="1">
      <c r="A15" s="374"/>
      <c r="B15" s="810" t="s">
        <v>2644</v>
      </c>
      <c r="C15" s="223" t="s">
        <v>3133</v>
      </c>
      <c r="E15" s="810" t="s">
        <v>2644</v>
      </c>
      <c r="F15" s="224" t="s">
        <v>3982</v>
      </c>
      <c r="L15" s="810" t="s">
        <v>2641</v>
      </c>
      <c r="M15" s="1533" t="s">
        <v>3983</v>
      </c>
      <c r="Y15" s="2475"/>
      <c r="Z15" s="1618">
        <v>15</v>
      </c>
      <c r="AZ15" s="1588"/>
    </row>
    <row r="16" spans="1:52" s="223" customFormat="1" ht="16.5" customHeight="1">
      <c r="A16" s="374"/>
      <c r="B16" s="805" t="s">
        <v>2644</v>
      </c>
      <c r="C16" s="224" t="s">
        <v>1668</v>
      </c>
      <c r="E16" s="805" t="s">
        <v>2644</v>
      </c>
      <c r="F16" s="224" t="s">
        <v>4396</v>
      </c>
      <c r="I16" s="3094"/>
      <c r="J16" s="3095"/>
      <c r="L16" s="805" t="s">
        <v>2644</v>
      </c>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3720</v>
      </c>
      <c r="M21" s="3121"/>
      <c r="N21" s="3121" t="s">
        <v>1408</v>
      </c>
      <c r="O21" s="3121"/>
      <c r="P21" s="3121" t="s">
        <v>1521</v>
      </c>
      <c r="Q21" s="3121"/>
      <c r="S21" s="3100" t="s">
        <v>2441</v>
      </c>
      <c r="T21" s="3100"/>
      <c r="Y21" s="2475"/>
      <c r="Z21" s="1618">
        <v>21</v>
      </c>
      <c r="AZ21" s="1588" t="s">
        <v>4237</v>
      </c>
    </row>
    <row r="22" spans="1:52" s="223" customFormat="1" ht="15.75" customHeight="1">
      <c r="A22" s="144"/>
      <c r="B22" s="3135" t="s">
        <v>1484</v>
      </c>
      <c r="C22" s="3136"/>
      <c r="D22" s="3136"/>
      <c r="E22" s="808"/>
      <c r="F22" s="808"/>
      <c r="G22" s="808"/>
      <c r="H22" s="3137" t="s">
        <v>5134</v>
      </c>
      <c r="I22" s="3138"/>
      <c r="J22" s="3138"/>
      <c r="K22" s="3139"/>
      <c r="L22" s="3140">
        <v>10830482</v>
      </c>
      <c r="M22" s="3141"/>
      <c r="N22" s="3142">
        <v>8.5000000000000006E-2</v>
      </c>
      <c r="O22" s="3143"/>
      <c r="P22" s="3144">
        <v>24</v>
      </c>
      <c r="Q22" s="3145"/>
      <c r="S22" s="3081"/>
      <c r="T22" s="3082"/>
      <c r="Y22" s="2475" t="s">
        <v>4237</v>
      </c>
      <c r="Z22" s="1618">
        <v>22</v>
      </c>
      <c r="AZ22" s="1588" t="s">
        <v>4238</v>
      </c>
    </row>
    <row r="23" spans="1:52" s="223" customFormat="1" ht="15.75" customHeight="1">
      <c r="A23" s="144"/>
      <c r="B23" s="3110" t="s">
        <v>1485</v>
      </c>
      <c r="C23" s="3111"/>
      <c r="D23" s="3111"/>
      <c r="E23" s="144"/>
      <c r="F23" s="144"/>
      <c r="G23" s="144"/>
      <c r="H23" s="3112" t="s">
        <v>5198</v>
      </c>
      <c r="I23" s="3113"/>
      <c r="J23" s="3113"/>
      <c r="K23" s="3114"/>
      <c r="L23" s="3115">
        <v>492288</v>
      </c>
      <c r="M23" s="3116"/>
      <c r="N23" s="3117">
        <v>4.4600000000000001E-2</v>
      </c>
      <c r="O23" s="3118"/>
      <c r="P23" s="3122">
        <v>24</v>
      </c>
      <c r="Q23" s="3123"/>
      <c r="S23" s="3083"/>
      <c r="T23" s="3084"/>
      <c r="Y23" s="2475" t="s">
        <v>4238</v>
      </c>
      <c r="Z23" s="1618">
        <v>23</v>
      </c>
      <c r="AZ23" s="1588" t="s">
        <v>4239</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4239</v>
      </c>
      <c r="Z24" s="1618">
        <v>24</v>
      </c>
      <c r="AZ24" s="1588" t="s">
        <v>4240</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4240</v>
      </c>
      <c r="Z25" s="1618">
        <v>25</v>
      </c>
      <c r="AZ25" s="1588" t="s">
        <v>4241</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4241</v>
      </c>
      <c r="Z26" s="1618">
        <v>26</v>
      </c>
      <c r="AZ26" s="1588" t="s">
        <v>4242</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4242</v>
      </c>
      <c r="Z27" s="1618">
        <v>27</v>
      </c>
      <c r="AZ27" s="1588" t="s">
        <v>4243</v>
      </c>
    </row>
    <row r="28" spans="1:52" s="223" customFormat="1" ht="15.75" customHeight="1">
      <c r="A28" s="144"/>
      <c r="B28" s="3110" t="s">
        <v>745</v>
      </c>
      <c r="C28" s="3111"/>
      <c r="D28" s="3111"/>
      <c r="E28" s="144"/>
      <c r="H28" s="3112" t="s">
        <v>5135</v>
      </c>
      <c r="I28" s="3113"/>
      <c r="J28" s="3113"/>
      <c r="K28" s="3114"/>
      <c r="L28" s="3115">
        <v>1943805</v>
      </c>
      <c r="M28" s="3116"/>
      <c r="N28" s="144"/>
      <c r="Q28" s="144"/>
      <c r="S28" s="3085"/>
      <c r="T28" s="3086"/>
      <c r="Y28" s="2475" t="s">
        <v>4243</v>
      </c>
      <c r="Z28" s="1618">
        <v>28</v>
      </c>
      <c r="AZ28" s="1588" t="s">
        <v>4244</v>
      </c>
    </row>
    <row r="29" spans="1:52" s="223" customFormat="1" ht="15.75" customHeight="1">
      <c r="A29" s="144"/>
      <c r="B29" s="3110" t="s">
        <v>746</v>
      </c>
      <c r="C29" s="3111"/>
      <c r="D29" s="3111"/>
      <c r="E29" s="144"/>
      <c r="H29" s="3112" t="s">
        <v>5135</v>
      </c>
      <c r="I29" s="3113"/>
      <c r="J29" s="3113"/>
      <c r="K29" s="3114"/>
      <c r="L29" s="3115">
        <v>1003489</v>
      </c>
      <c r="M29" s="3116"/>
      <c r="N29" s="144"/>
      <c r="Q29" s="144"/>
      <c r="S29" s="3081"/>
      <c r="T29" s="3082"/>
      <c r="Y29" s="2475" t="s">
        <v>4244</v>
      </c>
      <c r="Z29" s="1618">
        <v>29</v>
      </c>
      <c r="AZ29" s="1588" t="s">
        <v>4245</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4245</v>
      </c>
      <c r="Z30" s="1618">
        <v>30</v>
      </c>
      <c r="AZ30" s="1588" t="s">
        <v>4246</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4246</v>
      </c>
      <c r="Z31" s="1618">
        <v>31</v>
      </c>
      <c r="AZ31" s="1588" t="s">
        <v>4247</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4247</v>
      </c>
      <c r="Z32" s="1618">
        <v>32</v>
      </c>
      <c r="AZ32" s="1588"/>
    </row>
    <row r="33" spans="1:52" s="223" customFormat="1" ht="16.5" customHeight="1">
      <c r="A33" s="144"/>
      <c r="B33" s="222" t="s">
        <v>1219</v>
      </c>
      <c r="C33" s="144"/>
      <c r="D33" s="144"/>
      <c r="E33" s="144"/>
      <c r="F33" s="144"/>
      <c r="G33" s="144"/>
      <c r="H33" s="144"/>
      <c r="I33" s="144"/>
      <c r="L33" s="3159">
        <f>SUM(L22:L32)</f>
        <v>14270064</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14270064</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3719</v>
      </c>
      <c r="J39" s="3121"/>
      <c r="K39" s="445" t="s">
        <v>1670</v>
      </c>
      <c r="L39" s="445" t="s">
        <v>2041</v>
      </c>
      <c r="M39" s="445" t="s">
        <v>2041</v>
      </c>
      <c r="N39" s="3121" t="s">
        <v>69</v>
      </c>
      <c r="O39" s="3121"/>
      <c r="P39" s="3156"/>
      <c r="Q39" s="3156"/>
      <c r="S39" s="3100" t="s">
        <v>2441</v>
      </c>
      <c r="T39" s="3100"/>
      <c r="Y39" s="2475"/>
      <c r="Z39" s="1618">
        <v>39</v>
      </c>
      <c r="AZ39" s="1588" t="s">
        <v>4248</v>
      </c>
    </row>
    <row r="40" spans="1:52" s="223" customFormat="1" ht="15" customHeight="1">
      <c r="A40" s="144"/>
      <c r="B40" s="3135" t="s">
        <v>2396</v>
      </c>
      <c r="C40" s="3136"/>
      <c r="D40" s="3136"/>
      <c r="E40" s="3137" t="s">
        <v>5198</v>
      </c>
      <c r="F40" s="3138"/>
      <c r="G40" s="3138"/>
      <c r="H40" s="3139"/>
      <c r="I40" s="3169">
        <v>492288</v>
      </c>
      <c r="J40" s="3170"/>
      <c r="K40" s="642">
        <v>4.4600000000000001E-2</v>
      </c>
      <c r="L40" s="809">
        <v>15</v>
      </c>
      <c r="M40" s="809">
        <v>30</v>
      </c>
      <c r="N40" s="3171" t="s">
        <v>5199</v>
      </c>
      <c r="O40" s="3171"/>
      <c r="P40" s="3172">
        <f>IF(OR(I40&lt;=0,I40=""),"",IF(N40="Cash Flow",0,IF(N40="Amortizing",-PMT(K40/12,M40*12,I40,0,0)*12,"")))</f>
        <v>29791.972615746738</v>
      </c>
      <c r="Q40" s="3172"/>
      <c r="S40" s="3081"/>
      <c r="T40" s="3082"/>
      <c r="Y40" s="2475" t="s">
        <v>4248</v>
      </c>
      <c r="Z40" s="1618">
        <v>40</v>
      </c>
      <c r="AZ40" s="1588" t="s">
        <v>4249</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4249</v>
      </c>
      <c r="Z41" s="1618">
        <v>41</v>
      </c>
      <c r="AZ41" s="1588" t="s">
        <v>4250</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4250</v>
      </c>
      <c r="Z42" s="1618">
        <v>42</v>
      </c>
      <c r="AZ42" s="1588" t="s">
        <v>4251</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4251</v>
      </c>
      <c r="Z43" s="1618">
        <v>43</v>
      </c>
      <c r="AZ43" s="1588" t="s">
        <v>4252</v>
      </c>
    </row>
    <row r="44" spans="1:52" s="223" customFormat="1" ht="15" customHeight="1">
      <c r="A44" s="144"/>
      <c r="B44" s="807" t="s">
        <v>3818</v>
      </c>
      <c r="C44" s="144"/>
      <c r="D44" s="811"/>
      <c r="E44" s="3112"/>
      <c r="F44" s="3113"/>
      <c r="G44" s="3113"/>
      <c r="H44" s="3114"/>
      <c r="I44" s="3165"/>
      <c r="J44" s="3166"/>
      <c r="K44" s="363"/>
      <c r="L44" s="806"/>
      <c r="M44" s="806"/>
      <c r="N44" s="3179"/>
      <c r="O44" s="3179"/>
      <c r="P44" s="3180"/>
      <c r="Q44" s="3180"/>
      <c r="S44" s="3083"/>
      <c r="T44" s="3084"/>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1.0151515151515151E-2</v>
      </c>
      <c r="E45" s="3126" t="s">
        <v>5130</v>
      </c>
      <c r="F45" s="3127"/>
      <c r="G45" s="3127"/>
      <c r="H45" s="3128"/>
      <c r="I45" s="3181">
        <v>13400</v>
      </c>
      <c r="J45" s="3182"/>
      <c r="K45" s="641">
        <v>0</v>
      </c>
      <c r="L45" s="640">
        <v>15</v>
      </c>
      <c r="M45" s="640" t="s">
        <v>905</v>
      </c>
      <c r="N45" s="2930" t="s">
        <v>1095</v>
      </c>
      <c r="O45" s="2931"/>
      <c r="P45" s="3183">
        <f>-'Part VI-Pro Forma'!B32</f>
        <v>13400</v>
      </c>
      <c r="Q45" s="3184"/>
      <c r="S45" s="3083"/>
      <c r="T45" s="3084"/>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3316</v>
      </c>
      <c r="C47" s="144"/>
      <c r="E47" s="223" t="s">
        <v>3274</v>
      </c>
      <c r="F47" s="3185">
        <f>IF(OR($I$45="",$I$45=0,'Part VI-Pro Forma'!$S$35=0,'Part VI-Pro Forma'!$S$35=""),"",VLOOKUP($L$45,'Part VI-Pro Forma'!$Q$21:$S$40,3))</f>
        <v>482978.10784650978</v>
      </c>
      <c r="G47" s="3186"/>
      <c r="H47" s="484" t="s">
        <v>3315</v>
      </c>
      <c r="I47" s="3185">
        <f>IF(OR($I$45="",$I$45=0,'Part VI-Pro Forma'!$R$35=0,'Part VI-Pro Forma'!$R$35=""),"",VLOOKUP($L$45,'Part VI-Pro Forma'!$Q$21:$S$35,2))</f>
        <v>13400</v>
      </c>
      <c r="J47" s="3186"/>
      <c r="K47" s="484" t="s">
        <v>3317</v>
      </c>
      <c r="L47" s="3187">
        <f>IF(OR($F$47 = 0,$F$47 =""),"",$I$47/$F$47)</f>
        <v>2.7744528752550651E-2</v>
      </c>
      <c r="M47" s="3188"/>
      <c r="N47" s="3189" t="s">
        <v>3723</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4254</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4254</v>
      </c>
      <c r="Z49" s="1618">
        <v>49</v>
      </c>
      <c r="AZ49" s="1588" t="s">
        <v>4255</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4255</v>
      </c>
      <c r="Z50" s="1618">
        <v>50</v>
      </c>
      <c r="AZ50" s="1588" t="s">
        <v>4256</v>
      </c>
    </row>
    <row r="51" spans="1:52" s="223" customFormat="1" ht="15" customHeight="1">
      <c r="A51" s="144"/>
      <c r="B51" s="3110" t="s">
        <v>745</v>
      </c>
      <c r="C51" s="3111"/>
      <c r="D51" s="3198"/>
      <c r="E51" s="3112" t="s">
        <v>5136</v>
      </c>
      <c r="F51" s="3113"/>
      <c r="G51" s="3113"/>
      <c r="H51" s="3114"/>
      <c r="I51" s="3165">
        <v>9719028</v>
      </c>
      <c r="J51" s="3165"/>
      <c r="L51" s="3201">
        <f>'Part III-A-Uses of Funds'!$J$191*10*'Part III-A-Uses of Funds'!$N$182</f>
        <v>9720000</v>
      </c>
      <c r="M51" s="3201"/>
      <c r="N51" s="3202">
        <f>I51-L51</f>
        <v>-972</v>
      </c>
      <c r="O51" s="3202"/>
      <c r="P51" s="323">
        <f>I51/I61</f>
        <v>0.63764095439466473</v>
      </c>
      <c r="Q51" s="144"/>
      <c r="S51" s="3083"/>
      <c r="T51" s="3084"/>
      <c r="Y51" s="2475" t="s">
        <v>4256</v>
      </c>
      <c r="Z51" s="1618">
        <v>51</v>
      </c>
      <c r="AZ51" s="1588" t="s">
        <v>4257</v>
      </c>
    </row>
    <row r="52" spans="1:52" s="223" customFormat="1" ht="15" customHeight="1">
      <c r="A52" s="144"/>
      <c r="B52" s="3110" t="s">
        <v>746</v>
      </c>
      <c r="C52" s="3111"/>
      <c r="D52" s="3198"/>
      <c r="E52" s="3112" t="s">
        <v>5136</v>
      </c>
      <c r="F52" s="3113"/>
      <c r="G52" s="3113"/>
      <c r="H52" s="3114"/>
      <c r="I52" s="3165">
        <v>5017448</v>
      </c>
      <c r="J52" s="3165"/>
      <c r="L52" s="3201">
        <f>'Part III-A-Uses of Funds'!$J$191*10*'Part III-A-Uses of Funds'!$Q$182</f>
        <v>5017950</v>
      </c>
      <c r="M52" s="3201"/>
      <c r="N52" s="3202">
        <f>I52-L52</f>
        <v>-502</v>
      </c>
      <c r="O52" s="3202"/>
      <c r="P52" s="323">
        <f>I52/I61</f>
        <v>0.32918212925671186</v>
      </c>
      <c r="Q52" s="144"/>
      <c r="S52" s="3083"/>
      <c r="T52" s="3084"/>
      <c r="Y52" s="2475" t="s">
        <v>4257</v>
      </c>
      <c r="Z52" s="1618">
        <v>52</v>
      </c>
      <c r="AZ52" s="1588" t="s">
        <v>4258</v>
      </c>
    </row>
    <row r="53" spans="1:52" s="223" customFormat="1" ht="15" customHeight="1">
      <c r="A53" s="144"/>
      <c r="B53" s="3110" t="s">
        <v>1329</v>
      </c>
      <c r="C53" s="3111"/>
      <c r="D53" s="3198"/>
      <c r="E53" s="3112"/>
      <c r="F53" s="3113"/>
      <c r="G53" s="3113"/>
      <c r="H53" s="3114"/>
      <c r="I53" s="3165"/>
      <c r="J53" s="3165"/>
      <c r="P53" s="324">
        <f>SUM(P51:P52)</f>
        <v>0.96682308365137659</v>
      </c>
      <c r="Q53" s="144"/>
      <c r="S53" s="3085"/>
      <c r="T53" s="3086"/>
      <c r="Y53" s="2475" t="s">
        <v>4258</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4259</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4259</v>
      </c>
      <c r="Z57" s="1618">
        <v>57</v>
      </c>
      <c r="AZ57" s="1588" t="s">
        <v>4260</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4260</v>
      </c>
      <c r="Z58" s="1618">
        <v>58</v>
      </c>
      <c r="AZ58" s="1588" t="s">
        <v>4261</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4261</v>
      </c>
      <c r="Z59" s="1618">
        <v>59</v>
      </c>
      <c r="AZ59" s="1588"/>
    </row>
    <row r="60" spans="1:52" s="223" customFormat="1" ht="14.25" customHeight="1">
      <c r="A60" s="144"/>
      <c r="B60" s="246" t="s">
        <v>2043</v>
      </c>
      <c r="C60" s="144"/>
      <c r="D60" s="144"/>
      <c r="E60" s="144"/>
      <c r="F60" s="144"/>
      <c r="G60" s="144"/>
      <c r="I60" s="3207">
        <f>SUM(I40:J45)+SUM(I49:J59)</f>
        <v>15242164</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15242164</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5215</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65"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2269</v>
      </c>
      <c r="B51" s="3221"/>
      <c r="C51" s="3221"/>
      <c r="D51" s="3221"/>
      <c r="E51" s="3221"/>
      <c r="F51" s="3221"/>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3" workbookViewId="0">
      <selection activeCell="A195" sqref="A195:M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Pinecrest Village, Douglas, Coffee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Pinecrest Village, Douglas, Coffee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12000</v>
      </c>
      <c r="H9" s="3141"/>
      <c r="J9" s="3140">
        <v>12000</v>
      </c>
      <c r="K9" s="3141"/>
      <c r="L9" s="815"/>
      <c r="M9" s="3140"/>
      <c r="N9" s="3141"/>
      <c r="P9" s="3140"/>
      <c r="Q9" s="3141"/>
      <c r="S9" s="3140"/>
      <c r="T9" s="3141"/>
      <c r="V9" s="836"/>
      <c r="W9" s="3242"/>
      <c r="X9" s="3243"/>
      <c r="AZ9" s="1655"/>
      <c r="BA9" s="1618">
        <v>9</v>
      </c>
    </row>
    <row r="10" spans="1:53" s="144" customFormat="1" ht="11.25" customHeight="1">
      <c r="B10" s="144" t="s">
        <v>430</v>
      </c>
      <c r="G10" s="3115">
        <v>10000</v>
      </c>
      <c r="H10" s="3116"/>
      <c r="J10" s="3115">
        <v>10000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15000</v>
      </c>
      <c r="H11" s="3116"/>
      <c r="J11" s="3115">
        <v>15000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15000</v>
      </c>
      <c r="H12" s="3116"/>
      <c r="J12" s="3115">
        <v>15000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20000</v>
      </c>
      <c r="H13" s="3116"/>
      <c r="J13" s="3115">
        <v>20000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4168</v>
      </c>
      <c r="C15" s="3244" t="s">
        <v>4615</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4262</v>
      </c>
      <c r="BA15" s="1618">
        <v>15</v>
      </c>
    </row>
    <row r="16" spans="1:53" s="144" customFormat="1" ht="11.25" customHeight="1">
      <c r="A16" s="303" t="str">
        <f>IF(AND(G16&gt;0,OR(C16="",C16="&lt;Enter detailed description here; use Comments section if needed&gt;")),"X","")</f>
        <v/>
      </c>
      <c r="B16" s="147" t="s">
        <v>4169</v>
      </c>
      <c r="C16" s="3244" t="s">
        <v>4615</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4263</v>
      </c>
      <c r="BA16" s="1618">
        <v>16</v>
      </c>
    </row>
    <row r="17" spans="1:53" s="144" customFormat="1" ht="11.25" customHeight="1" thickBot="1">
      <c r="A17" s="303" t="str">
        <f>IF(AND(G17&gt;0,OR(C17="",C17="&lt;Enter detailed description here; use Comments section if needed&gt;")),"X","")</f>
        <v/>
      </c>
      <c r="B17" s="147" t="s">
        <v>4170</v>
      </c>
      <c r="C17" s="3244" t="s">
        <v>4615</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4264</v>
      </c>
      <c r="BA17" s="1618">
        <v>17</v>
      </c>
    </row>
    <row r="18" spans="1:53" s="144" customFormat="1" ht="12.6" customHeight="1" thickTop="1">
      <c r="F18" s="281" t="s">
        <v>184</v>
      </c>
      <c r="G18" s="3248">
        <f>SUM(G9:G17)</f>
        <v>72000</v>
      </c>
      <c r="H18" s="3249"/>
      <c r="J18" s="3248">
        <f>SUM(J9:J17)</f>
        <v>72000</v>
      </c>
      <c r="K18" s="3249"/>
      <c r="L18" s="815"/>
      <c r="M18" s="3248">
        <f>SUM(M9:M17)</f>
        <v>0</v>
      </c>
      <c r="N18" s="3249"/>
      <c r="P18" s="3248">
        <f>SUM(P9:P17)</f>
        <v>0</v>
      </c>
      <c r="Q18" s="3249"/>
      <c r="S18" s="3248">
        <f>SUM(S9:S17)</f>
        <v>0</v>
      </c>
      <c r="T18" s="3249"/>
      <c r="V18" s="838">
        <f>SUM(V9:V17)</f>
        <v>0</v>
      </c>
      <c r="W18" s="3250"/>
      <c r="X18" s="3251"/>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85802.469135802472</v>
      </c>
      <c r="G20" s="3140">
        <v>695000</v>
      </c>
      <c r="H20" s="3141"/>
      <c r="J20" s="283"/>
      <c r="K20" s="280"/>
      <c r="L20" s="283"/>
      <c r="M20" s="283"/>
      <c r="N20" s="280"/>
      <c r="P20" s="283"/>
      <c r="Q20" s="280"/>
      <c r="S20" s="3140">
        <v>695000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695000</v>
      </c>
      <c r="H24" s="3249"/>
      <c r="J24" s="283"/>
      <c r="K24" s="280"/>
      <c r="L24" s="283"/>
      <c r="M24" s="3248">
        <f>SUM(M22:M23)</f>
        <v>0</v>
      </c>
      <c r="N24" s="3249"/>
      <c r="P24" s="283"/>
      <c r="Q24" s="280"/>
      <c r="S24" s="3248">
        <f>SUM(S20:S23)</f>
        <v>695000</v>
      </c>
      <c r="T24" s="3249"/>
      <c r="V24" s="838">
        <f>SUM(V20:V23)</f>
        <v>0</v>
      </c>
      <c r="W24" s="3250"/>
      <c r="X24" s="3251"/>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255555.55555555556</v>
      </c>
      <c r="G26" s="3140">
        <v>2070000</v>
      </c>
      <c r="H26" s="3141"/>
      <c r="J26" s="3140">
        <v>1966500</v>
      </c>
      <c r="K26" s="3141"/>
      <c r="L26" s="815"/>
      <c r="M26" s="3254"/>
      <c r="N26" s="3255"/>
      <c r="P26" s="3254"/>
      <c r="Q26" s="3255"/>
      <c r="S26" s="3140">
        <v>103500</v>
      </c>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2070000</v>
      </c>
      <c r="H28" s="3249"/>
      <c r="J28" s="3248">
        <f>SUM(J26:J27)</f>
        <v>1966500</v>
      </c>
      <c r="K28" s="3249"/>
      <c r="L28" s="283"/>
      <c r="M28" s="3248">
        <f>M26</f>
        <v>0</v>
      </c>
      <c r="N28" s="3249"/>
      <c r="P28" s="3248">
        <f>P26</f>
        <v>0</v>
      </c>
      <c r="Q28" s="3249"/>
      <c r="S28" s="3248">
        <f>SUM(S26:S27)</f>
        <v>103500</v>
      </c>
      <c r="T28" s="3249"/>
      <c r="V28" s="838">
        <f>SUM(V26:V27)</f>
        <v>0</v>
      </c>
      <c r="W28" s="3250"/>
      <c r="X28" s="3251"/>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6976700</v>
      </c>
      <c r="H30" s="3141"/>
      <c r="J30" s="3140">
        <v>6976700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3989</v>
      </c>
      <c r="G32" s="3115">
        <v>325000</v>
      </c>
      <c r="H32" s="3116"/>
      <c r="J32" s="3115">
        <v>325000</v>
      </c>
      <c r="K32" s="3116"/>
      <c r="L32" s="815"/>
      <c r="M32" s="3115"/>
      <c r="N32" s="3116"/>
      <c r="P32" s="3115"/>
      <c r="Q32" s="3116"/>
      <c r="S32" s="3115"/>
      <c r="T32" s="3116"/>
      <c r="V32" s="836"/>
      <c r="W32" s="3242"/>
      <c r="X32" s="3243"/>
      <c r="AZ32" s="1655"/>
      <c r="BA32" s="1618">
        <v>32</v>
      </c>
    </row>
    <row r="33" spans="1:53" s="144" customFormat="1" ht="11.25" customHeight="1">
      <c r="B33" s="144" t="s">
        <v>3987</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3988</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7301700</v>
      </c>
      <c r="H36" s="3249"/>
      <c r="J36" s="3248">
        <f>SUM(J30:J35)</f>
        <v>7301700</v>
      </c>
      <c r="K36" s="3249"/>
      <c r="L36" s="815"/>
      <c r="M36" s="3248">
        <f>SUM(M30:M35)</f>
        <v>0</v>
      </c>
      <c r="N36" s="3249"/>
      <c r="P36" s="3248">
        <f>SUM(P30:P35)</f>
        <v>0</v>
      </c>
      <c r="Q36" s="3249"/>
      <c r="S36" s="3248">
        <f>SUM(S30:S35)</f>
        <v>0</v>
      </c>
      <c r="T36" s="3249"/>
      <c r="V36" s="838">
        <f>SUM(V30:V35)</f>
        <v>0</v>
      </c>
      <c r="W36" s="3250"/>
      <c r="X36" s="3251"/>
      <c r="AZ36" s="1655" t="s">
        <v>4268</v>
      </c>
      <c r="BA36" s="1618">
        <v>36</v>
      </c>
    </row>
    <row r="37" spans="1:53" s="144" customFormat="1" ht="12" customHeight="1">
      <c r="B37" s="243" t="s">
        <v>2157</v>
      </c>
      <c r="D37" s="3259" t="s">
        <v>3139</v>
      </c>
      <c r="E37" s="3259"/>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562302</v>
      </c>
      <c r="F38" s="1859">
        <f>IF(($G$28+$G$36)=0,0,G38/($G$28+$G$36))</f>
        <v>0.06</v>
      </c>
      <c r="G38" s="3140">
        <v>562302</v>
      </c>
      <c r="H38" s="3141"/>
      <c r="I38" s="145"/>
      <c r="J38" s="3140">
        <v>562302</v>
      </c>
      <c r="K38" s="3141"/>
      <c r="L38" s="815"/>
      <c r="M38" s="3140"/>
      <c r="N38" s="3141"/>
      <c r="P38" s="3140"/>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187434</v>
      </c>
      <c r="F39" s="1859">
        <f>IF(($G$28+$G$36)=0,0,G39/($G$28+$G$36))</f>
        <v>0.02</v>
      </c>
      <c r="G39" s="3115">
        <v>187434</v>
      </c>
      <c r="H39" s="3116"/>
      <c r="I39" s="145"/>
      <c r="J39" s="3115">
        <v>187434</v>
      </c>
      <c r="K39" s="3116"/>
      <c r="L39" s="815"/>
      <c r="M39" s="3115"/>
      <c r="N39" s="3116"/>
      <c r="P39" s="3115"/>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562302</v>
      </c>
      <c r="F40" s="1862">
        <f>IF(($G$28+$G$36)=0,0,G40/($G$28+$G$36))</f>
        <v>0.06</v>
      </c>
      <c r="G40" s="3252">
        <v>562302</v>
      </c>
      <c r="H40" s="3253"/>
      <c r="I40" s="145"/>
      <c r="J40" s="3252">
        <v>562302</v>
      </c>
      <c r="K40" s="3253"/>
      <c r="L40" s="815"/>
      <c r="M40" s="3252"/>
      <c r="N40" s="3253"/>
      <c r="P40" s="3252"/>
      <c r="Q40" s="3253"/>
      <c r="S40" s="3252"/>
      <c r="T40" s="3253"/>
      <c r="V40" s="836"/>
      <c r="W40" s="3246"/>
      <c r="X40" s="3247"/>
      <c r="AZ40" s="1655"/>
      <c r="BA40" s="1618">
        <v>40</v>
      </c>
    </row>
    <row r="41" spans="1:53" s="144" customFormat="1" ht="12.6" customHeight="1" thickTop="1">
      <c r="B41" s="147" t="s">
        <v>3140</v>
      </c>
      <c r="D41" s="748">
        <f>SUM(D38:D40)</f>
        <v>0.14000000000000001</v>
      </c>
      <c r="E41" s="749">
        <f>SUM(E38:E40)</f>
        <v>1312038</v>
      </c>
      <c r="F41" s="1856" t="s">
        <v>184</v>
      </c>
      <c r="G41" s="3248">
        <f>SUM(G38:G40)</f>
        <v>1312038</v>
      </c>
      <c r="H41" s="3249"/>
      <c r="J41" s="3248">
        <f>SUM(J38:J40)</f>
        <v>1312038</v>
      </c>
      <c r="K41" s="3249"/>
      <c r="L41" s="283"/>
      <c r="M41" s="3248">
        <f>SUM(M38:M40)</f>
        <v>0</v>
      </c>
      <c r="N41" s="3249"/>
      <c r="P41" s="3248">
        <f>SUM(P38:P40)</f>
        <v>0</v>
      </c>
      <c r="Q41" s="3249"/>
      <c r="S41" s="3248">
        <f>SUM(S38:S40)</f>
        <v>0</v>
      </c>
      <c r="T41" s="3249"/>
      <c r="V41" s="838">
        <f>SUM(V38:V40)</f>
        <v>0</v>
      </c>
      <c r="W41" s="3250"/>
      <c r="X41" s="3251"/>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261">
        <f>G28+G36+G41</f>
        <v>10683738</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244" t="s">
        <v>4615</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4271</v>
      </c>
      <c r="BA47" s="1618">
        <v>47</v>
      </c>
    </row>
    <row r="48" spans="1:53" s="144" customFormat="1" ht="12.6" customHeight="1">
      <c r="B48" s="1577" t="s">
        <v>2472</v>
      </c>
      <c r="C48" s="1578"/>
      <c r="E48" s="3273" t="s">
        <v>2471</v>
      </c>
      <c r="F48" s="1579">
        <f>C49/'Part V-Revenues &amp; Expenses'!$P$65</f>
        <v>222577.875</v>
      </c>
      <c r="G48" s="1580" t="s">
        <v>2485</v>
      </c>
      <c r="H48" s="1581"/>
      <c r="I48" s="1581"/>
      <c r="J48" s="3275">
        <f>C49/'Part V-Revenues &amp; Expenses'!$P$67</f>
        <v>222577.875</v>
      </c>
      <c r="K48" s="3275"/>
      <c r="L48" s="1581"/>
      <c r="M48" s="3276" t="s">
        <v>4372</v>
      </c>
      <c r="N48" s="3276"/>
      <c r="O48" s="1581"/>
      <c r="P48" s="3275">
        <f>C49/'Part V-Revenues &amp; Expenses'!$K$179</f>
        <v>218.49475427940365</v>
      </c>
      <c r="Q48" s="3275"/>
      <c r="R48" s="1581"/>
      <c r="S48" s="3277" t="s">
        <v>4374</v>
      </c>
      <c r="T48" s="3278"/>
      <c r="V48" s="839"/>
      <c r="W48" s="3269"/>
      <c r="X48" s="3270"/>
      <c r="AZ48" s="1655"/>
      <c r="BA48" s="1618">
        <v>48</v>
      </c>
    </row>
    <row r="49" spans="1:53" s="144" customFormat="1" ht="12.6" customHeight="1">
      <c r="B49" s="1626" t="s">
        <v>4385</v>
      </c>
      <c r="C49" s="1625">
        <f>G28+G36+G41+G46</f>
        <v>10683738</v>
      </c>
      <c r="E49" s="3274"/>
      <c r="F49" s="1582">
        <f>C49/'Part V-Revenues &amp; Expenses'!$P$170</f>
        <v>226.94659699209788</v>
      </c>
      <c r="G49" s="1583" t="s">
        <v>2486</v>
      </c>
      <c r="H49" s="1584"/>
      <c r="I49" s="1584"/>
      <c r="J49" s="3279">
        <f>C49/'Part V-Revenues &amp; Expenses'!$P$172</f>
        <v>226.94659699209788</v>
      </c>
      <c r="K49" s="3279"/>
      <c r="L49" s="1584"/>
      <c r="M49" s="3280" t="s">
        <v>4373</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534186.9</v>
      </c>
      <c r="F55" s="1666">
        <f>G55/C49</f>
        <v>4.9999915759821142E-2</v>
      </c>
      <c r="G55" s="3265">
        <v>534186</v>
      </c>
      <c r="H55" s="3266"/>
      <c r="I55" s="144"/>
      <c r="J55" s="3265">
        <v>534186</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4194</v>
      </c>
      <c r="C57" s="1578"/>
      <c r="E57" s="3284" t="s">
        <v>4195</v>
      </c>
      <c r="F57" s="1579">
        <f>B58/'Part V-Revenues &amp; Expenses'!$P$65</f>
        <v>233706.75</v>
      </c>
      <c r="G57" s="1580" t="s">
        <v>2485</v>
      </c>
      <c r="H57" s="1581"/>
      <c r="I57" s="1581"/>
      <c r="J57" s="3275">
        <f>B58/'Part V-Revenues &amp; Expenses'!$P$67</f>
        <v>233706.75</v>
      </c>
      <c r="K57" s="3275"/>
      <c r="L57" s="1581"/>
      <c r="M57" s="3276" t="s">
        <v>4372</v>
      </c>
      <c r="N57" s="3276"/>
      <c r="O57" s="1581"/>
      <c r="P57" s="3275">
        <f>B58/'Part V-Revenues &amp; Expenses'!$K$179</f>
        <v>229.41947358733665</v>
      </c>
      <c r="Q57" s="3275"/>
      <c r="R57" s="1581"/>
      <c r="S57" s="3277" t="s">
        <v>4374</v>
      </c>
      <c r="T57" s="3278"/>
      <c r="V57" s="839"/>
      <c r="W57" s="3269"/>
      <c r="X57" s="3270"/>
      <c r="AZ57" s="1655"/>
      <c r="BA57" s="1618">
        <v>54</v>
      </c>
    </row>
    <row r="58" spans="1:53" s="144" customFormat="1" ht="12.6" customHeight="1">
      <c r="B58" s="3282">
        <f>C49+G55</f>
        <v>11217924</v>
      </c>
      <c r="C58" s="3283"/>
      <c r="E58" s="3285"/>
      <c r="F58" s="1582">
        <f>B58/'Part V-Revenues &amp; Expenses'!$P$170</f>
        <v>238.29390772368086</v>
      </c>
      <c r="G58" s="1583" t="s">
        <v>2486</v>
      </c>
      <c r="H58" s="1584"/>
      <c r="I58" s="1584"/>
      <c r="J58" s="3279">
        <f>B58/'Part V-Revenues &amp; Expenses'!$P$172</f>
        <v>238.29390772368086</v>
      </c>
      <c r="K58" s="3279"/>
      <c r="L58" s="1584"/>
      <c r="M58" s="3280" t="s">
        <v>4373</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3142</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109000</v>
      </c>
      <c r="H63" s="3116"/>
      <c r="J63" s="3115">
        <v>54500</v>
      </c>
      <c r="K63" s="3116"/>
      <c r="L63" s="815"/>
      <c r="M63" s="3115"/>
      <c r="N63" s="3116"/>
      <c r="P63" s="3115"/>
      <c r="Q63" s="3116"/>
      <c r="S63" s="3115">
        <v>54500</v>
      </c>
      <c r="T63" s="3116"/>
      <c r="V63" s="840"/>
      <c r="W63" s="3242"/>
      <c r="X63" s="3243"/>
      <c r="AZ63" s="1655"/>
      <c r="BA63" s="1618">
        <v>63</v>
      </c>
    </row>
    <row r="64" spans="1:53" s="144" customFormat="1" ht="12" customHeight="1">
      <c r="B64" s="144" t="s">
        <v>2161</v>
      </c>
      <c r="G64" s="3115">
        <v>635402</v>
      </c>
      <c r="H64" s="3116"/>
      <c r="J64" s="3115">
        <v>635402</v>
      </c>
      <c r="K64" s="3116"/>
      <c r="L64" s="815"/>
      <c r="M64" s="3115"/>
      <c r="N64" s="3116"/>
      <c r="P64" s="3115"/>
      <c r="Q64" s="3116"/>
      <c r="S64" s="3115"/>
      <c r="T64" s="3116"/>
      <c r="V64" s="840"/>
      <c r="W64" s="3242"/>
      <c r="X64" s="3243"/>
      <c r="AZ64" s="1655"/>
      <c r="BA64" s="1618">
        <v>64</v>
      </c>
    </row>
    <row r="65" spans="1:53" s="144" customFormat="1" ht="12" customHeight="1">
      <c r="B65" s="144" t="s">
        <v>2162</v>
      </c>
      <c r="G65" s="3115">
        <v>60000</v>
      </c>
      <c r="H65" s="3116"/>
      <c r="J65" s="3115">
        <v>60000</v>
      </c>
      <c r="K65" s="3116"/>
      <c r="L65" s="815"/>
      <c r="M65" s="3115"/>
      <c r="N65" s="3116"/>
      <c r="P65" s="3115"/>
      <c r="Q65" s="3116"/>
      <c r="S65" s="3115"/>
      <c r="T65" s="3116"/>
      <c r="V65" s="840"/>
      <c r="W65" s="3242"/>
      <c r="X65" s="3243"/>
      <c r="AZ65" s="1655" t="s">
        <v>4272</v>
      </c>
      <c r="BA65" s="1618">
        <v>65</v>
      </c>
    </row>
    <row r="66" spans="1:53" s="144" customFormat="1" ht="12" customHeight="1">
      <c r="B66" s="144" t="s">
        <v>2443</v>
      </c>
      <c r="G66" s="3115">
        <v>15000</v>
      </c>
      <c r="H66" s="3116"/>
      <c r="J66" s="3115">
        <v>15000</v>
      </c>
      <c r="K66" s="3116"/>
      <c r="L66" s="815"/>
      <c r="M66" s="3115"/>
      <c r="N66" s="3116"/>
      <c r="P66" s="3115"/>
      <c r="Q66" s="3116"/>
      <c r="S66" s="3115"/>
      <c r="T66" s="3116"/>
      <c r="V66" s="840"/>
      <c r="W66" s="3242"/>
      <c r="X66" s="3243"/>
      <c r="AZ66" s="1655" t="s">
        <v>4273</v>
      </c>
      <c r="BA66" s="1618">
        <v>66</v>
      </c>
    </row>
    <row r="67" spans="1:53" s="144" customFormat="1" ht="12" customHeight="1">
      <c r="B67" s="144" t="s">
        <v>675</v>
      </c>
      <c r="G67" s="3115">
        <v>8500</v>
      </c>
      <c r="H67" s="3116"/>
      <c r="J67" s="3115">
        <v>8500</v>
      </c>
      <c r="K67" s="3116"/>
      <c r="L67" s="815"/>
      <c r="M67" s="3115"/>
      <c r="N67" s="3116"/>
      <c r="P67" s="3115"/>
      <c r="Q67" s="3116"/>
      <c r="S67" s="3115"/>
      <c r="T67" s="3116"/>
      <c r="V67" s="840"/>
      <c r="W67" s="3242"/>
      <c r="X67" s="3243"/>
      <c r="AZ67" s="1655" t="s">
        <v>4274</v>
      </c>
      <c r="BA67" s="1618">
        <v>67</v>
      </c>
    </row>
    <row r="68" spans="1:53" s="144" customFormat="1" ht="12" customHeight="1">
      <c r="B68" s="144" t="s">
        <v>2163</v>
      </c>
      <c r="G68" s="3115">
        <v>13000</v>
      </c>
      <c r="H68" s="3116"/>
      <c r="J68" s="3115">
        <v>13000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35000</v>
      </c>
      <c r="H69" s="3116"/>
      <c r="J69" s="3115">
        <v>35000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4173</v>
      </c>
      <c r="C71" s="3288" t="s">
        <v>4615</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4174</v>
      </c>
      <c r="C72" s="3286" t="s">
        <v>4615</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875902</v>
      </c>
      <c r="H73" s="3249"/>
      <c r="J73" s="3248">
        <f>SUM(J61:J72)</f>
        <v>821402</v>
      </c>
      <c r="K73" s="3249"/>
      <c r="L73" s="283"/>
      <c r="M73" s="3248">
        <f>SUM(M61:M72)</f>
        <v>0</v>
      </c>
      <c r="N73" s="3249"/>
      <c r="P73" s="3248">
        <f>SUM(P61:P72)</f>
        <v>0</v>
      </c>
      <c r="Q73" s="3249"/>
      <c r="S73" s="3248">
        <f>SUM(S61:S72)</f>
        <v>54500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153600</v>
      </c>
      <c r="H75" s="3141"/>
      <c r="J75" s="3140">
        <v>153600</v>
      </c>
      <c r="K75" s="3141"/>
      <c r="L75" s="815"/>
      <c r="M75" s="3140"/>
      <c r="N75" s="3141"/>
      <c r="P75" s="3140"/>
      <c r="Q75" s="3141"/>
      <c r="S75" s="3140"/>
      <c r="T75" s="3141"/>
      <c r="V75" s="836"/>
      <c r="W75" s="3242"/>
      <c r="X75" s="3243"/>
      <c r="AZ75" s="1655"/>
      <c r="BA75" s="1618">
        <v>75</v>
      </c>
    </row>
    <row r="76" spans="1:53" s="144" customFormat="1" ht="12" customHeight="1">
      <c r="B76" s="144" t="s">
        <v>450</v>
      </c>
      <c r="G76" s="3115">
        <v>38400</v>
      </c>
      <c r="H76" s="3116"/>
      <c r="J76" s="3115">
        <v>38400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30000</v>
      </c>
      <c r="H77" s="3116"/>
      <c r="J77" s="3115">
        <v>30000</v>
      </c>
      <c r="K77" s="3116"/>
      <c r="L77" s="815"/>
      <c r="M77" s="3115"/>
      <c r="N77" s="3116"/>
      <c r="P77" s="3115"/>
      <c r="Q77" s="3116"/>
      <c r="S77" s="3115"/>
      <c r="T77" s="3116"/>
      <c r="V77" s="836"/>
      <c r="W77" s="3242"/>
      <c r="X77" s="3243"/>
      <c r="AZ77" s="1655"/>
      <c r="BA77" s="1618">
        <v>77</v>
      </c>
    </row>
    <row r="78" spans="1:53" s="144" customFormat="1" ht="12" customHeight="1">
      <c r="B78" s="144" t="s">
        <v>1061</v>
      </c>
      <c r="G78" s="3115">
        <v>6000</v>
      </c>
      <c r="H78" s="3116"/>
      <c r="J78" s="3115">
        <v>6000</v>
      </c>
      <c r="K78" s="3116"/>
      <c r="L78" s="815"/>
      <c r="M78" s="3115"/>
      <c r="N78" s="3116"/>
      <c r="P78" s="3115"/>
      <c r="Q78" s="3116"/>
      <c r="S78" s="3115"/>
      <c r="T78" s="3116"/>
      <c r="V78" s="836"/>
      <c r="W78" s="3242"/>
      <c r="X78" s="3243"/>
      <c r="AZ78" s="1655"/>
      <c r="BA78" s="1618">
        <v>78</v>
      </c>
    </row>
    <row r="79" spans="1:53" s="144" customFormat="1" ht="12" customHeight="1">
      <c r="B79" s="144" t="s">
        <v>1062</v>
      </c>
      <c r="G79" s="3115">
        <v>17500</v>
      </c>
      <c r="H79" s="3116"/>
      <c r="J79" s="3115">
        <v>17500</v>
      </c>
      <c r="K79" s="3116"/>
      <c r="L79" s="815"/>
      <c r="M79" s="3115"/>
      <c r="N79" s="3116"/>
      <c r="P79" s="3115"/>
      <c r="Q79" s="3116"/>
      <c r="S79" s="3115"/>
      <c r="T79" s="3116"/>
      <c r="V79" s="836"/>
      <c r="W79" s="3242"/>
      <c r="X79" s="3243"/>
      <c r="AZ79" s="1655" t="s">
        <v>4275</v>
      </c>
      <c r="BA79" s="1618">
        <v>79</v>
      </c>
    </row>
    <row r="80" spans="1:53" s="144" customFormat="1" ht="12" customHeight="1">
      <c r="B80" s="144" t="s">
        <v>1063</v>
      </c>
      <c r="G80" s="3115">
        <v>45000</v>
      </c>
      <c r="H80" s="3116"/>
      <c r="J80" s="3115">
        <v>45000</v>
      </c>
      <c r="K80" s="3116"/>
      <c r="L80" s="815"/>
      <c r="M80" s="3115"/>
      <c r="N80" s="3116"/>
      <c r="P80" s="3115"/>
      <c r="Q80" s="3116"/>
      <c r="S80" s="3115"/>
      <c r="T80" s="3116"/>
      <c r="V80" s="836"/>
      <c r="W80" s="3242"/>
      <c r="X80" s="3243"/>
      <c r="AZ80" s="1655" t="s">
        <v>4276</v>
      </c>
      <c r="BA80" s="1618">
        <v>80</v>
      </c>
    </row>
    <row r="81" spans="1:53" s="144" customFormat="1" ht="12" customHeight="1">
      <c r="B81" s="144" t="s">
        <v>451</v>
      </c>
      <c r="G81" s="3115">
        <v>90000</v>
      </c>
      <c r="H81" s="3116"/>
      <c r="J81" s="3115">
        <v>90000</v>
      </c>
      <c r="K81" s="3116"/>
      <c r="L81" s="815"/>
      <c r="M81" s="3115"/>
      <c r="N81" s="3116"/>
      <c r="P81" s="3115"/>
      <c r="Q81" s="3116"/>
      <c r="S81" s="3115"/>
      <c r="T81" s="3116"/>
      <c r="V81" s="836"/>
      <c r="W81" s="3242"/>
      <c r="X81" s="3243"/>
      <c r="AZ81" s="1651"/>
      <c r="BA81" s="1618">
        <v>81</v>
      </c>
    </row>
    <row r="82" spans="1:53" s="144" customFormat="1" ht="12" customHeight="1">
      <c r="B82" s="144" t="s">
        <v>452</v>
      </c>
      <c r="G82" s="3115">
        <v>27000</v>
      </c>
      <c r="H82" s="3116"/>
      <c r="J82" s="3115">
        <v>15000</v>
      </c>
      <c r="K82" s="3116"/>
      <c r="L82" s="815"/>
      <c r="M82" s="3115"/>
      <c r="N82" s="3116"/>
      <c r="P82" s="3115"/>
      <c r="Q82" s="3116"/>
      <c r="S82" s="3115">
        <v>12000</v>
      </c>
      <c r="T82" s="3116"/>
      <c r="V82" s="836"/>
      <c r="W82" s="3242"/>
      <c r="X82" s="3243"/>
      <c r="AZ82" s="1655"/>
      <c r="BA82" s="1618">
        <v>82</v>
      </c>
    </row>
    <row r="83" spans="1:53" s="144" customFormat="1" ht="12" customHeight="1">
      <c r="B83" s="144" t="s">
        <v>1894</v>
      </c>
      <c r="G83" s="3115">
        <v>29000</v>
      </c>
      <c r="H83" s="3116"/>
      <c r="J83" s="3115">
        <v>29000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7500</v>
      </c>
      <c r="H84" s="3116"/>
      <c r="J84" s="3115">
        <v>7500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4175</v>
      </c>
      <c r="C85" s="3244" t="s">
        <v>4615</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444000</v>
      </c>
      <c r="H86" s="3249"/>
      <c r="J86" s="3248">
        <f>SUM(J75:J85)</f>
        <v>432000</v>
      </c>
      <c r="K86" s="3249"/>
      <c r="L86" s="283"/>
      <c r="M86" s="3248">
        <f>SUM(M75:M85)</f>
        <v>0</v>
      </c>
      <c r="N86" s="3249"/>
      <c r="P86" s="3248">
        <f>SUM(P75:P85)</f>
        <v>0</v>
      </c>
      <c r="Q86" s="3249"/>
      <c r="S86" s="3248">
        <f>SUM(S75:S85)</f>
        <v>12000</v>
      </c>
      <c r="T86" s="3249"/>
      <c r="V86" s="838">
        <f>SUM(V75:V85)</f>
        <v>0</v>
      </c>
      <c r="W86" s="3250"/>
      <c r="X86" s="3251"/>
      <c r="AZ86" s="1655" t="s">
        <v>4277</v>
      </c>
      <c r="BA86" s="1618">
        <v>86</v>
      </c>
    </row>
    <row r="87" spans="1:53" ht="12" customHeight="1">
      <c r="A87" s="144"/>
      <c r="B87" s="243" t="s">
        <v>1191</v>
      </c>
      <c r="C87" s="144"/>
      <c r="D87" s="678" t="s">
        <v>3143</v>
      </c>
      <c r="E87" s="750">
        <f>G92/'Part V-Revenues &amp; Expenses'!$P$67</f>
        <v>913.29166666666663</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22402</v>
      </c>
      <c r="H88" s="3141"/>
      <c r="J88" s="3140">
        <v>22402</v>
      </c>
      <c r="K88" s="3141"/>
      <c r="L88" s="815"/>
      <c r="M88" s="3140"/>
      <c r="N88" s="3141"/>
      <c r="P88" s="3140"/>
      <c r="Q88" s="3141"/>
      <c r="S88" s="3140"/>
      <c r="T88" s="3141"/>
      <c r="V88" s="836"/>
      <c r="W88" s="3242"/>
      <c r="X88" s="3243"/>
      <c r="AZ88" s="1655"/>
      <c r="BA88" s="1618">
        <v>88</v>
      </c>
    </row>
    <row r="89" spans="1:53" s="144" customFormat="1" ht="12" customHeight="1">
      <c r="B89" s="144" t="s">
        <v>1193</v>
      </c>
      <c r="G89" s="3115">
        <v>0</v>
      </c>
      <c r="H89" s="3116"/>
      <c r="J89" s="3115">
        <v>0</v>
      </c>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2644</v>
      </c>
      <c r="G90" s="3115">
        <v>20636</v>
      </c>
      <c r="H90" s="3116"/>
      <c r="I90" s="145"/>
      <c r="J90" s="3115">
        <v>20636</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2644</v>
      </c>
      <c r="G91" s="3129">
        <v>800</v>
      </c>
      <c r="H91" s="3130"/>
      <c r="I91" s="145"/>
      <c r="J91" s="3129">
        <v>800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43838</v>
      </c>
      <c r="H92" s="3249"/>
      <c r="J92" s="3248">
        <f>SUM(J88:J91)</f>
        <v>43838</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40"/>
      <c r="H97" s="3141"/>
      <c r="J97" s="3290"/>
      <c r="K97" s="3290"/>
      <c r="L97" s="815"/>
      <c r="M97" s="3290"/>
      <c r="N97" s="3290"/>
      <c r="P97" s="3290"/>
      <c r="Q97" s="3290"/>
      <c r="S97" s="3140"/>
      <c r="T97" s="3141"/>
      <c r="V97" s="836"/>
      <c r="W97" s="3242"/>
      <c r="X97" s="3243"/>
      <c r="AZ97" s="1655" t="s">
        <v>4279</v>
      </c>
      <c r="BA97" s="1618">
        <v>97</v>
      </c>
    </row>
    <row r="98" spans="1:53" s="144" customFormat="1" ht="12" customHeight="1">
      <c r="B98" s="144" t="s">
        <v>1197</v>
      </c>
      <c r="G98" s="3115">
        <v>15000</v>
      </c>
      <c r="H98" s="3116"/>
      <c r="J98" s="3290"/>
      <c r="K98" s="3290"/>
      <c r="L98" s="815"/>
      <c r="M98" s="3290"/>
      <c r="N98" s="3290"/>
      <c r="P98" s="3290"/>
      <c r="Q98" s="3290"/>
      <c r="S98" s="3115">
        <v>15000</v>
      </c>
      <c r="T98" s="3116"/>
      <c r="V98" s="836"/>
      <c r="W98" s="3242"/>
      <c r="X98" s="3243"/>
      <c r="AZ98" s="1655"/>
      <c r="BA98" s="1618">
        <v>98</v>
      </c>
    </row>
    <row r="99" spans="1:53" s="144" customFormat="1" ht="12" customHeight="1">
      <c r="B99" s="144" t="s">
        <v>1198</v>
      </c>
      <c r="G99" s="3115">
        <v>15000</v>
      </c>
      <c r="H99" s="3116"/>
      <c r="J99" s="3290"/>
      <c r="K99" s="3290"/>
      <c r="L99" s="815"/>
      <c r="M99" s="3290"/>
      <c r="N99" s="3290"/>
      <c r="P99" s="3290"/>
      <c r="Q99" s="3290"/>
      <c r="S99" s="3115">
        <v>15000</v>
      </c>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4176</v>
      </c>
      <c r="C102" s="3244" t="s">
        <v>4615</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30000</v>
      </c>
      <c r="H103" s="3249"/>
      <c r="J103" s="3290"/>
      <c r="K103" s="3290"/>
      <c r="L103" s="283"/>
      <c r="M103" s="3290"/>
      <c r="N103" s="3290"/>
      <c r="P103" s="3290"/>
      <c r="Q103" s="3290"/>
      <c r="S103" s="3248">
        <f>SUM(S97:S102)</f>
        <v>30000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5008</v>
      </c>
      <c r="G105" s="3140"/>
      <c r="H105" s="3141"/>
      <c r="J105" s="283"/>
      <c r="K105" s="283"/>
      <c r="L105" s="815"/>
      <c r="M105" s="283"/>
      <c r="N105" s="283"/>
      <c r="P105" s="283"/>
      <c r="Q105" s="283"/>
      <c r="S105" s="3140"/>
      <c r="T105" s="3141"/>
      <c r="V105" s="836"/>
      <c r="W105" s="3242"/>
      <c r="X105" s="3243"/>
      <c r="Y105" s="3291" t="s">
        <v>4597</v>
      </c>
      <c r="AA105" s="236" t="s">
        <v>4540</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3066</v>
      </c>
      <c r="AB106" s="1841"/>
      <c r="AC106" s="1841"/>
      <c r="AD106" s="1842">
        <f>'Part V-Revenues &amp; Expenses'!$P$67</f>
        <v>48</v>
      </c>
      <c r="AZ106" s="1655" t="s">
        <v>4280</v>
      </c>
      <c r="BA106" s="1618">
        <v>106</v>
      </c>
    </row>
    <row r="107" spans="1:53" s="144" customFormat="1" ht="12.6" customHeight="1">
      <c r="B107" s="144" t="s">
        <v>5009</v>
      </c>
      <c r="G107" s="3115">
        <v>2000</v>
      </c>
      <c r="H107" s="3116"/>
      <c r="J107" s="283"/>
      <c r="K107" s="283"/>
      <c r="L107" s="290"/>
      <c r="M107" s="283"/>
      <c r="N107" s="283"/>
      <c r="P107" s="283"/>
      <c r="Q107" s="283"/>
      <c r="S107" s="3115">
        <v>2000</v>
      </c>
      <c r="T107" s="3116"/>
      <c r="V107" s="836"/>
      <c r="W107" s="3242"/>
      <c r="X107" s="3243"/>
      <c r="Y107" s="3291"/>
      <c r="Z107" s="301"/>
      <c r="AA107" s="225" t="s">
        <v>4602</v>
      </c>
      <c r="AB107" s="147"/>
      <c r="AC107" s="147"/>
      <c r="AD107" s="147"/>
      <c r="AF107" s="1846" t="s">
        <v>4603</v>
      </c>
      <c r="AZ107" s="1655" t="s">
        <v>4281</v>
      </c>
      <c r="BA107" s="1618">
        <v>107</v>
      </c>
    </row>
    <row r="108" spans="1:53" s="144" customFormat="1" ht="12.6" customHeight="1">
      <c r="B108" s="144" t="s">
        <v>485</v>
      </c>
      <c r="E108" s="3292">
        <f>ROUNDUP('DCA Underwriting Assumptions'!$Q$70*J191,0)</f>
        <v>97200</v>
      </c>
      <c r="F108" s="3293"/>
      <c r="G108" s="3115">
        <v>97200</v>
      </c>
      <c r="H108" s="3116"/>
      <c r="J108" s="751" t="str">
        <f>IF(E108&gt;G108,"WARNING!  LIHTC Allocation Fee proposed is below minimum required.","")</f>
        <v/>
      </c>
      <c r="K108" s="283"/>
      <c r="L108" s="815"/>
      <c r="M108" s="283"/>
      <c r="N108" s="283"/>
      <c r="P108" s="283"/>
      <c r="Q108" s="283"/>
      <c r="S108" s="3115">
        <v>97200</v>
      </c>
      <c r="T108" s="3116"/>
      <c r="V108" s="836"/>
      <c r="W108" s="3242"/>
      <c r="X108" s="3243"/>
      <c r="Y108" s="3291"/>
      <c r="Z108" s="301"/>
      <c r="AA108" s="147" t="s">
        <v>4598</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292">
        <f>AF111+AF115</f>
        <v>48000</v>
      </c>
      <c r="F109" s="3293"/>
      <c r="G109" s="3115">
        <v>48000</v>
      </c>
      <c r="H109" s="3116"/>
      <c r="I109" s="3294" t="str">
        <f>IF(E109&gt;G109,"WARNING!  LIHTC Compliance Fee proposed is below minimum required.","")</f>
        <v/>
      </c>
      <c r="J109" s="3295"/>
      <c r="K109" s="3295"/>
      <c r="L109" s="3295"/>
      <c r="M109" s="3295"/>
      <c r="N109" s="3295"/>
      <c r="O109" s="3295"/>
      <c r="P109" s="3295"/>
      <c r="Q109" s="3295"/>
      <c r="R109" s="3296"/>
      <c r="S109" s="3115">
        <v>48000</v>
      </c>
      <c r="T109" s="3116"/>
      <c r="V109" s="836"/>
      <c r="W109" s="3242"/>
      <c r="X109" s="3243"/>
      <c r="Y109" s="3291"/>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15">
        <v>3000</v>
      </c>
      <c r="H110" s="3116"/>
      <c r="I110" s="3294"/>
      <c r="J110" s="3295"/>
      <c r="K110" s="3295"/>
      <c r="L110" s="3295"/>
      <c r="M110" s="3295"/>
      <c r="N110" s="3295"/>
      <c r="O110" s="3295"/>
      <c r="P110" s="3295"/>
      <c r="Q110" s="3295"/>
      <c r="R110" s="3296"/>
      <c r="S110" s="3115">
        <v>3000</v>
      </c>
      <c r="T110" s="3116"/>
      <c r="V110" s="836"/>
      <c r="W110" s="3242"/>
      <c r="X110" s="3243"/>
      <c r="Y110" s="3291"/>
      <c r="AA110" s="147" t="s">
        <v>4599</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4738</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4600</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288" t="s">
        <v>4615</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4601</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286" t="s">
        <v>4615</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48</v>
      </c>
      <c r="AF113" s="1844">
        <f>IF($AD$105="Income Averaging",AD113*'DCA Underwriting Assumptions'!$Q$75,AD113*'DCA Underwriting Assumptions'!$Q$74)</f>
        <v>48000</v>
      </c>
      <c r="AZ113" s="1655" t="s">
        <v>4283</v>
      </c>
      <c r="BA113" s="1618">
        <v>113</v>
      </c>
    </row>
    <row r="114" spans="1:53" s="144" customFormat="1" ht="12.6" customHeight="1" thickTop="1">
      <c r="F114" s="281" t="s">
        <v>184</v>
      </c>
      <c r="G114" s="3248">
        <f>SUM(G105:G113)</f>
        <v>168200</v>
      </c>
      <c r="H114" s="3249"/>
      <c r="J114" s="283"/>
      <c r="K114" s="283"/>
      <c r="L114" s="815"/>
      <c r="M114" s="283"/>
      <c r="N114" s="283"/>
      <c r="P114" s="283"/>
      <c r="Q114" s="283"/>
      <c r="S114" s="3248">
        <f>SUM(S105:S113)</f>
        <v>168200</v>
      </c>
      <c r="T114" s="3249"/>
      <c r="V114" s="838">
        <f>SUM(V105:V113)</f>
        <v>0</v>
      </c>
      <c r="W114" s="3297"/>
      <c r="X114" s="3298"/>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4600</v>
      </c>
      <c r="AC115" s="147"/>
      <c r="AD115" s="1843">
        <f>SUM(AD113:AD114)</f>
        <v>48</v>
      </c>
      <c r="AF115" s="1845">
        <f>SUM(AF113:AF114)</f>
        <v>48000</v>
      </c>
      <c r="AZ115" s="1631"/>
      <c r="BA115" s="1618">
        <v>115</v>
      </c>
    </row>
    <row r="116" spans="1:53" s="144" customFormat="1" ht="12.6" customHeight="1">
      <c r="B116" s="144" t="s">
        <v>267</v>
      </c>
      <c r="G116" s="3140">
        <v>3000</v>
      </c>
      <c r="H116" s="3141"/>
      <c r="J116" s="3290"/>
      <c r="K116" s="3290"/>
      <c r="L116" s="815"/>
      <c r="M116" s="3290"/>
      <c r="N116" s="3290"/>
      <c r="P116" s="3290"/>
      <c r="Q116" s="3290"/>
      <c r="S116" s="3140">
        <v>3000</v>
      </c>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v>30000</v>
      </c>
      <c r="H118" s="3116"/>
      <c r="J118" s="3290"/>
      <c r="K118" s="3290"/>
      <c r="L118" s="815"/>
      <c r="M118" s="3290"/>
      <c r="N118" s="3290"/>
      <c r="P118" s="3290"/>
      <c r="Q118" s="3290"/>
      <c r="S118" s="3115">
        <v>30000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4172</v>
      </c>
      <c r="C119" s="3244" t="s">
        <v>4615</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33000</v>
      </c>
      <c r="H120" s="3249"/>
      <c r="J120" s="3290"/>
      <c r="K120" s="3290"/>
      <c r="L120" s="815"/>
      <c r="M120" s="3290"/>
      <c r="N120" s="3290"/>
      <c r="P120" s="3290"/>
      <c r="Q120" s="3290"/>
      <c r="S120" s="3248">
        <f>SUM(S116:S119)</f>
        <v>33000</v>
      </c>
      <c r="T120" s="3249"/>
      <c r="V120" s="838">
        <f>SUM(V116:V119)</f>
        <v>0</v>
      </c>
      <c r="W120" s="3250"/>
      <c r="X120" s="3251"/>
      <c r="AC120" s="3299" t="s">
        <v>3797</v>
      </c>
      <c r="AD120" s="3299" t="s">
        <v>3798</v>
      </c>
      <c r="AE120" s="3301" t="s">
        <v>3801</v>
      </c>
      <c r="AF120" s="3302" t="s">
        <v>3799</v>
      </c>
      <c r="AG120" s="3301" t="s">
        <v>3790</v>
      </c>
      <c r="AH120" s="3304" t="s">
        <v>4635</v>
      </c>
      <c r="AI120" s="3304"/>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00"/>
      <c r="AD121" s="3300"/>
      <c r="AE121" s="3036"/>
      <c r="AF121" s="3303"/>
      <c r="AG121" s="3301"/>
      <c r="AH121" s="3304"/>
      <c r="AI121" s="3304"/>
      <c r="AK121" s="44"/>
      <c r="AZ121" s="1631" t="s">
        <v>4285</v>
      </c>
      <c r="BA121" s="1618">
        <v>121</v>
      </c>
    </row>
    <row r="122" spans="1:53" s="144" customFormat="1" ht="12.6" customHeight="1">
      <c r="B122" s="144" t="s">
        <v>1719</v>
      </c>
      <c r="F122" s="322">
        <f>IF($G$127=0,0,G122/$G$127)</f>
        <v>0.5</v>
      </c>
      <c r="G122" s="3317">
        <v>660000</v>
      </c>
      <c r="H122" s="3317"/>
      <c r="J122" s="3318">
        <v>660000</v>
      </c>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1320000</v>
      </c>
      <c r="AF122" s="3305">
        <f>SUM(AE122:AE124)</f>
        <v>1320000</v>
      </c>
      <c r="AG122" s="3308">
        <f>'DCA Underwriting Assumptions'!$Q$89</f>
        <v>2285000</v>
      </c>
      <c r="AH122" s="3311">
        <f>MIN(AF122,AG122)</f>
        <v>1320000</v>
      </c>
      <c r="AI122" s="3312"/>
      <c r="AZ122" s="1631"/>
      <c r="BA122" s="1618">
        <v>122</v>
      </c>
    </row>
    <row r="123" spans="1:53" s="144" customFormat="1" ht="12.6" customHeight="1">
      <c r="B123" s="144" t="s">
        <v>3322</v>
      </c>
      <c r="F123" s="936">
        <v>660000</v>
      </c>
      <c r="G123" s="241" t="s">
        <v>4616</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06"/>
      <c r="AG123" s="3309"/>
      <c r="AH123" s="3313"/>
      <c r="AI123" s="3314"/>
      <c r="AZ123" s="1631"/>
      <c r="BA123" s="1618">
        <v>123</v>
      </c>
    </row>
    <row r="124" spans="1:53" s="144" customFormat="1" ht="12.6" customHeight="1">
      <c r="B124" s="144" t="s">
        <v>1720</v>
      </c>
      <c r="F124" s="322">
        <f>IF($G$127=0,0,G124/$G$127)</f>
        <v>2.8787878787878789E-2</v>
      </c>
      <c r="G124" s="3140">
        <v>38000</v>
      </c>
      <c r="H124" s="3141"/>
      <c r="J124" s="3140"/>
      <c r="K124" s="3141"/>
      <c r="L124" s="815"/>
      <c r="M124" s="3140"/>
      <c r="N124" s="3141"/>
      <c r="P124" s="3140"/>
      <c r="Q124" s="3141"/>
      <c r="S124" s="3140">
        <v>38000</v>
      </c>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3078</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1320000</v>
      </c>
      <c r="AF125" s="3305">
        <f>SUM(AE125:AE127)</f>
        <v>1320000</v>
      </c>
      <c r="AG125" s="3305">
        <f>'DCA Underwriting Assumptions'!$Q$90</f>
        <v>4000000</v>
      </c>
      <c r="AH125" s="3311">
        <f>MIN(AF125,AG125)</f>
        <v>1320000</v>
      </c>
      <c r="AI125" s="3312"/>
      <c r="AZ125" s="1631"/>
      <c r="BA125" s="1618">
        <v>125</v>
      </c>
    </row>
    <row r="126" spans="1:53" s="144" customFormat="1" ht="12.6" customHeight="1" thickBot="1">
      <c r="B126" s="144" t="s">
        <v>1712</v>
      </c>
      <c r="F126" s="322">
        <f>IF($G$127=0,0,G126/$G$127)</f>
        <v>0.47121212121212119</v>
      </c>
      <c r="G126" s="3129">
        <v>622000</v>
      </c>
      <c r="H126" s="3130"/>
      <c r="J126" s="3129">
        <v>622000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06"/>
      <c r="AG126" s="3306"/>
      <c r="AH126" s="3313"/>
      <c r="AI126" s="3314"/>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1320000</v>
      </c>
      <c r="F127" s="281" t="s">
        <v>184</v>
      </c>
      <c r="G127" s="3248">
        <f>SUM(G122:G126)</f>
        <v>1320000</v>
      </c>
      <c r="H127" s="3320"/>
      <c r="J127" s="3248">
        <f>SUM(J122:J126)</f>
        <v>1282000</v>
      </c>
      <c r="K127" s="3320"/>
      <c r="L127" s="815"/>
      <c r="M127" s="3248">
        <f>SUM(M122:M126)</f>
        <v>0</v>
      </c>
      <c r="N127" s="3320"/>
      <c r="P127" s="3248">
        <f>SUM(P122:P126)</f>
        <v>0</v>
      </c>
      <c r="Q127" s="3320"/>
      <c r="S127" s="3248">
        <f>SUM(S122:S126)</f>
        <v>38000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40">
        <v>43200</v>
      </c>
      <c r="H129" s="3141"/>
      <c r="J129" s="291"/>
      <c r="K129" s="291"/>
      <c r="L129" s="291"/>
      <c r="M129" s="291"/>
      <c r="N129" s="291"/>
      <c r="P129" s="291"/>
      <c r="Q129" s="291"/>
      <c r="S129" s="3140">
        <v>43200</v>
      </c>
      <c r="T129" s="3141"/>
      <c r="V129" s="836"/>
      <c r="W129" s="3242"/>
      <c r="X129" s="3243"/>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73068</v>
      </c>
      <c r="G130" s="3115">
        <v>73068</v>
      </c>
      <c r="H130" s="3116"/>
      <c r="J130" s="752" t="str">
        <f>IF(E130&gt;G130,"WARNING! Rent-Up Reserves proposed is below minimum - add comment.","")</f>
        <v/>
      </c>
      <c r="K130" s="752"/>
      <c r="L130" s="815"/>
      <c r="M130" s="737"/>
      <c r="N130" s="737"/>
      <c r="P130" s="737"/>
      <c r="Q130" s="737"/>
      <c r="S130" s="3115">
        <v>73068</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161031.98630787336</v>
      </c>
      <c r="G131" s="3115">
        <v>161032</v>
      </c>
      <c r="H131" s="3116"/>
      <c r="J131" s="752" t="str">
        <f>IF(E131&gt;G131,"WARNING! ODR proposed is below minimum - add comment.","")</f>
        <v/>
      </c>
      <c r="K131" s="290"/>
      <c r="L131" s="290"/>
      <c r="M131" s="290"/>
      <c r="N131" s="290"/>
      <c r="P131" s="290"/>
      <c r="Q131" s="290"/>
      <c r="S131" s="3115">
        <v>161032</v>
      </c>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4288</v>
      </c>
      <c r="BA132" s="1618">
        <v>132</v>
      </c>
    </row>
    <row r="133" spans="1:53" s="144" customFormat="1" ht="12.6" customHeight="1">
      <c r="B133" s="144" t="s">
        <v>1170</v>
      </c>
      <c r="E133" s="646" t="s">
        <v>3052</v>
      </c>
      <c r="F133" s="364">
        <f>IF('Part V-Revenues &amp; Expenses'!$P$67=0,0,G133/'Part V-Revenues &amp; Expenses'!$P$67)</f>
        <v>1354.1666666666667</v>
      </c>
      <c r="G133" s="3115">
        <v>65000</v>
      </c>
      <c r="H133" s="3116"/>
      <c r="J133" s="3140">
        <v>65000</v>
      </c>
      <c r="K133" s="3141"/>
      <c r="L133" s="815"/>
      <c r="M133" s="3140"/>
      <c r="N133" s="3141"/>
      <c r="P133" s="3140"/>
      <c r="Q133" s="3141"/>
      <c r="S133" s="3115"/>
      <c r="T133" s="3116"/>
      <c r="V133" s="836"/>
      <c r="W133" s="3242"/>
      <c r="X133" s="3243"/>
      <c r="AZ133" s="1655" t="s">
        <v>4289</v>
      </c>
      <c r="BA133" s="1618">
        <v>133</v>
      </c>
    </row>
    <row r="134" spans="1:53" s="144" customFormat="1" ht="12.6" customHeight="1" thickBot="1">
      <c r="A134" s="303" t="str">
        <f>IF(AND(G134&gt;0,OR(C134="",C134="&lt;Enter detailed description here; use Comments section if needed&gt;")),"X","")</f>
        <v/>
      </c>
      <c r="B134" s="147" t="s">
        <v>4172</v>
      </c>
      <c r="C134" s="3244" t="s">
        <v>4615</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342300</v>
      </c>
      <c r="H135" s="3249"/>
      <c r="J135" s="3248">
        <f>SUM(J133:J134)</f>
        <v>65000</v>
      </c>
      <c r="K135" s="3249"/>
      <c r="L135" s="815"/>
      <c r="M135" s="3248">
        <f>SUM(M133:M134)</f>
        <v>0</v>
      </c>
      <c r="N135" s="3249"/>
      <c r="P135" s="3248">
        <f>SUM(P133:P134)</f>
        <v>0</v>
      </c>
      <c r="Q135" s="3249"/>
      <c r="S135" s="3248">
        <f>SUM(S129:S134)</f>
        <v>277300</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4172</v>
      </c>
      <c r="C143" s="3244" t="s">
        <v>4615</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21">
        <f>G18+G24+G28+G36+G41+G46+G55+G73+G86+G92+G103+G114+G120+G127+G135+G144</f>
        <v>15242164</v>
      </c>
      <c r="H146" s="3322"/>
      <c r="J146" s="3321">
        <f>J18+J24+J28+J36+J41+J46+J55+J73+J86+J92+J103+J114+J120+J127+J135+J144</f>
        <v>13830664</v>
      </c>
      <c r="K146" s="3322"/>
      <c r="M146" s="3321">
        <f>M18+M24+M28+M36+M41+M46+M55+M73+M86+M92+M103+M114+M120+M127+M135+M144</f>
        <v>0</v>
      </c>
      <c r="N146" s="3322"/>
      <c r="P146" s="3321">
        <f>P18+P24+P28+P36+P41+P46+P55+P73+P86+P92+P103+P114+P120+P127+P135+P144</f>
        <v>0</v>
      </c>
      <c r="Q146" s="3322"/>
      <c r="S146" s="3321">
        <f>S18+S24+S28+S36+S41+S46+S55+S73+S86+S92+S103+S114+S120+S127+S135+S144</f>
        <v>1411500</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317545.08333333331</v>
      </c>
      <c r="E148" s="3326"/>
      <c r="F148" s="389" t="s">
        <v>2480</v>
      </c>
      <c r="G148" s="3327">
        <f>IF('Part V-Revenues &amp; Expenses'!$K$179=0,0,G146/'Part V-Revenues &amp; Expenses'!$K$179)</f>
        <v>311.71981921181259</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13830664</v>
      </c>
      <c r="K162" s="3336"/>
      <c r="M162" s="3337">
        <f>M146</f>
        <v>0</v>
      </c>
      <c r="N162" s="3338"/>
      <c r="P162" s="3335">
        <f>P146</f>
        <v>0</v>
      </c>
      <c r="Q162" s="3336"/>
      <c r="R162" s="3339" t="s">
        <v>4750</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13830664</v>
      </c>
      <c r="K164" s="3342"/>
      <c r="M164" s="3344">
        <f>M162</f>
        <v>0</v>
      </c>
      <c r="N164" s="3345"/>
      <c r="P164" s="3341">
        <f>P162-P163</f>
        <v>0</v>
      </c>
      <c r="Q164" s="3342"/>
      <c r="R164" s="3346" t="s">
        <v>4751</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v>1</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1898</v>
      </c>
      <c r="J166" s="3341">
        <f>J164*J165</f>
        <v>13830664</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4752</v>
      </c>
      <c r="S167" s="3363"/>
      <c r="T167" s="3364"/>
      <c r="V167" s="836"/>
      <c r="W167" s="3242"/>
      <c r="X167" s="3243"/>
      <c r="AZ167" s="1655"/>
      <c r="BA167" s="1618">
        <v>167</v>
      </c>
    </row>
    <row r="168" spans="1:53" s="144" customFormat="1" ht="14.1" customHeight="1">
      <c r="B168" s="144" t="s">
        <v>1890</v>
      </c>
      <c r="J168" s="3341">
        <f>J166*J167</f>
        <v>13830664</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c r="N169" s="3358"/>
      <c r="P169" s="3357"/>
      <c r="Q169" s="3358"/>
      <c r="V169" s="836"/>
      <c r="W169" s="3242"/>
      <c r="X169" s="3243"/>
      <c r="AZ169" s="1655"/>
      <c r="BA169" s="1618">
        <v>169</v>
      </c>
    </row>
    <row r="170" spans="1:53" s="144" customFormat="1" ht="14.1" customHeight="1" thickBot="1">
      <c r="B170" s="144" t="s">
        <v>2334</v>
      </c>
      <c r="J170" s="3365">
        <f>J168*J169</f>
        <v>1244759.76</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1244759</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335">
        <f>G146</f>
        <v>15242164</v>
      </c>
      <c r="K176" s="3368"/>
      <c r="L176" s="3336"/>
      <c r="N176" s="3369" t="s">
        <v>4610</v>
      </c>
      <c r="O176" s="3370"/>
      <c r="P176" s="3370"/>
      <c r="Q176" s="3371"/>
      <c r="S176" s="3377" t="s">
        <v>3102</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492288</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14749876</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 customHeight="1">
      <c r="B180" s="144" t="s">
        <v>1208</v>
      </c>
      <c r="J180" s="3344">
        <f>J178/10</f>
        <v>1474987.6</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1.2130000000000001</v>
      </c>
      <c r="K182" s="3386"/>
      <c r="L182" s="3387"/>
      <c r="M182" s="248" t="s">
        <v>1210</v>
      </c>
      <c r="N182" s="3388">
        <v>0.8</v>
      </c>
      <c r="O182" s="3389"/>
      <c r="P182" s="248" t="s">
        <v>569</v>
      </c>
      <c r="Q182" s="3388">
        <v>0.41299999999999998</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1215983</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4609</v>
      </c>
      <c r="J187" s="3394">
        <v>1215000</v>
      </c>
      <c r="K187" s="3395"/>
      <c r="L187" s="3396"/>
      <c r="Q187" s="147" t="s">
        <v>4144</v>
      </c>
      <c r="R187" s="147"/>
      <c r="S187" s="3397" t="str">
        <f>'Part VIII Scoring Criteria'!$J$12</f>
        <v>Rural</v>
      </c>
      <c r="T187" s="3398"/>
      <c r="U187" s="1534" t="str">
        <f>IF(OR(S187="Atlanta Metro", "Other Metro"), "Metro", IF(S187="Rural","Rural",""))</f>
        <v>Rural</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394">
        <v>1215000</v>
      </c>
      <c r="K189" s="3395"/>
      <c r="L189" s="3396"/>
      <c r="M189" s="3399" t="str">
        <f>IF(J187=0,"",IF(J189&gt;J187,"Request can't exceed Maximum - REVISE (Try Round Down)!",""))</f>
        <v/>
      </c>
      <c r="N189" s="3399"/>
      <c r="O189" s="3399"/>
      <c r="P189" s="3399"/>
      <c r="Q189" s="241" t="s">
        <v>4438</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400">
        <f>IF(J189="",0,+MIN(J187,J189))</f>
        <v>1215000</v>
      </c>
      <c r="K191" s="3401"/>
      <c r="L191" s="3402"/>
      <c r="M191" s="3399"/>
      <c r="N191" s="3399"/>
      <c r="O191" s="3399"/>
      <c r="P191" s="3399"/>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5212</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A3" sqref="A3:H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03" t="str">
        <f>CONCATENATE("PART THREE (B) -  OTHER COSTS","  -  ",'Part I-Project Identification'!$O$7," - ",'Part I-Project Identification'!$F$26,"  -  ",'Part I-Project Identification'!$F$27,"  -  ",'Part I-Project Identification'!$J$27,",  ","County")</f>
        <v>PART THREE (B) -  OTHER COSTS  -  2024-0 - Pinecrest Village  -  Douglas  -  Coffee,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3129</v>
      </c>
      <c r="B3" s="3406"/>
      <c r="C3" s="3406"/>
      <c r="D3" s="3406"/>
      <c r="E3" s="3406"/>
      <c r="F3" s="3406"/>
      <c r="G3" s="3406"/>
      <c r="H3" s="3407"/>
      <c r="R3" s="2478">
        <v>3</v>
      </c>
    </row>
    <row r="4" spans="1:18" ht="6" customHeight="1">
      <c r="R4" s="2478">
        <v>4</v>
      </c>
    </row>
    <row r="5" spans="1:18" ht="38.25" customHeight="1">
      <c r="A5" s="3408" t="s">
        <v>3191</v>
      </c>
      <c r="B5" s="3408"/>
      <c r="C5" s="3408"/>
      <c r="D5" s="3408"/>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ht="15.75">
      <c r="A24" s="723" t="s">
        <v>3123</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ht="25.5">
      <c r="A28" s="722" t="s">
        <v>3124</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ht="15.75">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ht="15.75">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ht="15.75">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3124</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75">
      <c r="A53" s="723" t="s">
        <v>3125</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ht="25.5">
      <c r="A57" s="722" t="s">
        <v>3124</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25.5">
      <c r="A62" s="722" t="s">
        <v>3124</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ht="15.75">
      <c r="A64" s="723" t="s">
        <v>3126</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ht="25.5">
      <c r="A68" s="722" t="s">
        <v>3124</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75">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ht="15.75">
      <c r="A76" s="723" t="s">
        <v>3127</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F8" sqref="F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Pinecrest Village, Douglas, Coffee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4630</v>
      </c>
      <c r="I3" s="3433" t="s">
        <v>5138</v>
      </c>
      <c r="J3" s="3434"/>
      <c r="AA3" s="2480">
        <v>3</v>
      </c>
    </row>
    <row r="4" spans="1:27" s="6" customFormat="1" ht="6" customHeight="1">
      <c r="AA4" s="2480">
        <v>4</v>
      </c>
    </row>
    <row r="5" spans="1:27">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5139</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4188</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5140</v>
      </c>
      <c r="E12" s="3443"/>
      <c r="F12" s="207" t="s">
        <v>415</v>
      </c>
      <c r="G12" s="207"/>
      <c r="H12" s="791"/>
      <c r="I12" s="1203"/>
      <c r="J12" s="1203">
        <v>4</v>
      </c>
      <c r="K12" s="1203">
        <v>5</v>
      </c>
      <c r="L12" s="1203">
        <v>7</v>
      </c>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7</v>
      </c>
      <c r="K13" s="1204">
        <v>10</v>
      </c>
      <c r="L13" s="1205">
        <v>12</v>
      </c>
      <c r="M13" s="1205"/>
      <c r="O13" s="3424" t="s">
        <v>3190</v>
      </c>
      <c r="P13" s="3424"/>
      <c r="Q13" s="3424"/>
      <c r="AA13" s="2480">
        <v>13</v>
      </c>
    </row>
    <row r="14" spans="1:27" s="6" customFormat="1" ht="12" customHeight="1">
      <c r="B14" s="1212" t="s">
        <v>1491</v>
      </c>
      <c r="C14" s="1213"/>
      <c r="D14" s="3425" t="s">
        <v>1489</v>
      </c>
      <c r="E14" s="3426"/>
      <c r="F14" s="208" t="s">
        <v>415</v>
      </c>
      <c r="G14" s="208"/>
      <c r="H14" s="203"/>
      <c r="I14" s="1204"/>
      <c r="J14" s="1204">
        <v>14</v>
      </c>
      <c r="K14" s="1204">
        <v>19</v>
      </c>
      <c r="L14" s="1205">
        <v>24</v>
      </c>
      <c r="M14" s="1205"/>
      <c r="O14" s="3424"/>
      <c r="P14" s="3424"/>
      <c r="Q14" s="3424"/>
      <c r="AA14" s="2480">
        <v>14</v>
      </c>
    </row>
    <row r="15" spans="1:27" s="6" customFormat="1" ht="12" customHeight="1">
      <c r="B15" s="1214" t="s">
        <v>439</v>
      </c>
      <c r="C15" s="1215"/>
      <c r="D15" s="1214" t="s">
        <v>1489</v>
      </c>
      <c r="E15" s="204"/>
      <c r="F15" s="208" t="s">
        <v>415</v>
      </c>
      <c r="G15" s="208"/>
      <c r="H15" s="789"/>
      <c r="I15" s="1204"/>
      <c r="J15" s="1204">
        <v>10</v>
      </c>
      <c r="K15" s="1204">
        <v>13</v>
      </c>
      <c r="L15" s="1205">
        <v>17</v>
      </c>
      <c r="M15" s="1205"/>
      <c r="O15" s="3424"/>
      <c r="P15" s="3424"/>
      <c r="Q15" s="3424"/>
      <c r="AA15" s="2480">
        <v>15</v>
      </c>
    </row>
    <row r="16" spans="1:27" s="6" customFormat="1" ht="12" customHeight="1">
      <c r="B16" s="1216" t="s">
        <v>3184</v>
      </c>
      <c r="C16" s="1211"/>
      <c r="D16" s="1210" t="s">
        <v>1489</v>
      </c>
      <c r="E16" s="788"/>
      <c r="F16" s="208"/>
      <c r="G16" s="208" t="s">
        <v>415</v>
      </c>
      <c r="H16" s="790"/>
      <c r="I16" s="1204"/>
      <c r="J16" s="1204"/>
      <c r="K16" s="1204"/>
      <c r="L16" s="1205"/>
      <c r="M16" s="1205"/>
      <c r="O16" s="3424"/>
      <c r="P16" s="3424"/>
      <c r="Q16" s="3424"/>
      <c r="AA16" s="2480">
        <v>16</v>
      </c>
    </row>
    <row r="17" spans="1:27" s="6" customFormat="1" ht="12" customHeight="1">
      <c r="B17" s="1216" t="s">
        <v>3185</v>
      </c>
      <c r="C17" s="1211"/>
      <c r="D17" s="1210" t="s">
        <v>1489</v>
      </c>
      <c r="E17" s="788"/>
      <c r="F17" s="208"/>
      <c r="G17" s="208" t="s">
        <v>415</v>
      </c>
      <c r="H17" s="790"/>
      <c r="I17" s="1204"/>
      <c r="J17" s="1204"/>
      <c r="K17" s="1204"/>
      <c r="L17" s="1205"/>
      <c r="M17" s="1205"/>
      <c r="O17" s="3424"/>
      <c r="P17" s="3424"/>
      <c r="Q17" s="3424"/>
      <c r="AA17" s="2480">
        <v>17</v>
      </c>
    </row>
    <row r="18" spans="1:27" s="6" customFormat="1" ht="12" customHeight="1">
      <c r="B18" s="1217" t="s">
        <v>3186</v>
      </c>
      <c r="C18" s="1213"/>
      <c r="D18" s="1212" t="s">
        <v>1489</v>
      </c>
      <c r="E18" s="788"/>
      <c r="F18" s="208" t="s">
        <v>415</v>
      </c>
      <c r="G18" s="208"/>
      <c r="H18" s="203"/>
      <c r="I18" s="1204"/>
      <c r="J18" s="1204">
        <v>22</v>
      </c>
      <c r="K18" s="1204">
        <v>28</v>
      </c>
      <c r="L18" s="1205">
        <v>34</v>
      </c>
      <c r="M18" s="1205"/>
      <c r="O18" s="3424"/>
      <c r="P18" s="3424"/>
      <c r="Q18" s="3424"/>
      <c r="AA18" s="2480">
        <v>18</v>
      </c>
    </row>
    <row r="19" spans="1:27" s="6" customFormat="1" ht="12" customHeight="1">
      <c r="B19" s="1214" t="s">
        <v>1290</v>
      </c>
      <c r="C19" s="1215"/>
      <c r="D19" s="1220" t="s">
        <v>2992</v>
      </c>
      <c r="E19" s="1202" t="s">
        <v>2641</v>
      </c>
      <c r="F19" s="208" t="s">
        <v>415</v>
      </c>
      <c r="G19" s="208"/>
      <c r="H19" s="789"/>
      <c r="I19" s="1204"/>
      <c r="J19" s="1204">
        <v>46</v>
      </c>
      <c r="K19" s="1204">
        <v>58</v>
      </c>
      <c r="L19" s="1205">
        <v>71</v>
      </c>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t="s">
        <v>5141</v>
      </c>
      <c r="D21" s="3428"/>
      <c r="E21" s="3429"/>
      <c r="F21" s="209" t="s">
        <v>415</v>
      </c>
      <c r="G21" s="209"/>
      <c r="H21" s="792"/>
      <c r="I21" s="1206"/>
      <c r="J21" s="1206">
        <v>20</v>
      </c>
      <c r="K21" s="1206">
        <v>20</v>
      </c>
      <c r="L21" s="1207">
        <v>20</v>
      </c>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123</v>
      </c>
      <c r="K22" s="119">
        <f>IF(SUM(K12:K21)=0,0,IF(OR($D12="&lt;&lt;Select Fuel &gt;&gt;",$D13="&lt;&lt;Select Fuel &gt;&gt;",$D14="&lt;&lt;Select Fuel &gt;&gt;"),"Select Fuel",IF($E19="&lt;Select&gt;","Submeter?",SUM(K12:K21))))</f>
        <v>153</v>
      </c>
      <c r="L22" s="119">
        <f>IF(SUM(L12:L21)=0,0,IF(OR($D12="&lt;&lt;Select Fuel &gt;&gt;",$D13="&lt;&lt;Select Fuel &gt;&gt;",$D14="&lt;&lt;Select Fuel &gt;&gt;"),"Select Fuel",IF($E19="&lt;Select&gt;","Submeter?",SUM(L12:L21))))</f>
        <v>185</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3190</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3184</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3185</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3186</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B7B253-CB63-424A-BE42-F97C811AA86C}">
  <ds:schemaRefs>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http://schemas.microsoft.com/office/2006/metadata/properties"/>
    <ds:schemaRef ds:uri="2e669154-7074-4abd-8878-51cd44ef535d"/>
    <ds:schemaRef ds:uri="http://schemas.openxmlformats.org/package/2006/metadata/core-properties"/>
    <ds:schemaRef ds:uri="b369fc44-467f-4fd4-ad5b-7b83e11effc3"/>
    <ds:schemaRef ds:uri="http://purl.org/dc/terms/"/>
  </ds:schemaRefs>
</ds:datastoreItem>
</file>

<file path=customXml/itemProps2.xml><?xml version="1.0" encoding="utf-8"?>
<ds:datastoreItem xmlns:ds="http://schemas.openxmlformats.org/officeDocument/2006/customXml" ds:itemID="{2A3E4938-E000-4B2A-93BF-B2A11DDE6DF3}"/>
</file>

<file path=customXml/itemProps3.xml><?xml version="1.0" encoding="utf-8"?>
<ds:datastoreItem xmlns:ds="http://schemas.openxmlformats.org/officeDocument/2006/customXml" ds:itemID="{2868E5F7-3A58-4FB5-956D-6810FB557D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Stephen Barrett</cp:lastModifiedBy>
  <cp:lastPrinted>2024-05-16T01:32:05Z</cp:lastPrinted>
  <dcterms:created xsi:type="dcterms:W3CDTF">2005-09-15T20:51:37Z</dcterms:created>
  <dcterms:modified xsi:type="dcterms:W3CDTF">2024-05-20T03:14:32Z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