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Bindrs\CompetitiveInitial\2024-027WesleySq\"/>
    </mc:Choice>
  </mc:AlternateContent>
  <xr:revisionPtr revIDLastSave="0" documentId="13_ncr:1_{6646461D-B9FC-4279-AD39-D844C183D027}" xr6:coauthVersionLast="47" xr6:coauthVersionMax="47" xr10:uidLastSave="{00000000-0000-0000-0000-000000000000}"/>
  <workbookProtection workbookAlgorithmName="SHA-512" workbookHashValue="2RMbDX5aODG4TI18mmUy5TEnKYFggqq1HEPOtywn1KHztkV4Csy40MNZAEAP8gXR6aCmapKd5bDgzuVRVQQb5Q==" workbookSaltValue="GEeS7U2IX4wWln9zfP+w3w==" workbookSpinCount="100000" lockStructure="1"/>
  <bookViews>
    <workbookView xWindow="390" yWindow="390" windowWidth="19200" windowHeight="660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s="1"/>
  <c r="P141" i="112"/>
  <c r="O141" i="112"/>
  <c r="D125" i="111" l="1"/>
  <c r="E125" i="111"/>
  <c r="F125" i="111" s="1"/>
  <c r="C125" i="111"/>
  <c r="B125" i="111"/>
  <c r="D95" i="111"/>
  <c r="E95" i="111" s="1"/>
  <c r="F95" i="111" s="1"/>
  <c r="G95" i="111" s="1"/>
  <c r="H95" i="111" s="1"/>
  <c r="I95" i="111" s="1"/>
  <c r="J95" i="111" s="1"/>
  <c r="K95" i="111" s="1"/>
  <c r="C95" i="111"/>
  <c r="B95" i="111"/>
  <c r="D63" i="111"/>
  <c r="E63" i="111" s="1"/>
  <c r="F63" i="111" s="1"/>
  <c r="G63" i="111" s="1"/>
  <c r="H63" i="111" s="1"/>
  <c r="I63" i="111" s="1"/>
  <c r="J63" i="111" s="1"/>
  <c r="K63" i="111" s="1"/>
  <c r="C63" i="111"/>
  <c r="B63" i="111"/>
  <c r="D31" i="111"/>
  <c r="E31" i="111"/>
  <c r="F31" i="111"/>
  <c r="G31" i="111"/>
  <c r="H31" i="111"/>
  <c r="I31" i="111" s="1"/>
  <c r="J31" i="111" s="1"/>
  <c r="K31" i="111" s="1"/>
  <c r="C31" i="111"/>
  <c r="B24" i="111" l="1"/>
  <c r="J30" i="107" l="1"/>
  <c r="P27" i="112" l="1"/>
  <c r="O368" i="112"/>
  <c r="P181" i="113"/>
  <c r="O1262" i="121"/>
  <c r="O1522" i="121"/>
  <c r="P1024" i="121"/>
  <c r="P1263" i="121"/>
  <c r="O1263" i="121"/>
  <c r="F76"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P1258" i="121"/>
  <c r="O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L654" i="121" s="1"/>
  <c r="K653" i="121"/>
  <c r="K654" i="121" s="1"/>
  <c r="J653" i="121"/>
  <c r="I653" i="121"/>
  <c r="H653" i="121"/>
  <c r="L652" i="121"/>
  <c r="K652" i="121"/>
  <c r="J652" i="12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Q645" i="121" s="1"/>
  <c r="P644" i="121"/>
  <c r="O644" i="121"/>
  <c r="N644" i="121"/>
  <c r="M644" i="121"/>
  <c r="M645" i="121" s="1"/>
  <c r="L644" i="121"/>
  <c r="L645" i="121" s="1"/>
  <c r="K644" i="121"/>
  <c r="K645" i="121" s="1"/>
  <c r="J644" i="121"/>
  <c r="I644" i="121"/>
  <c r="I645" i="121" s="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Q636" i="121" s="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K625" i="121"/>
  <c r="L625" i="121"/>
  <c r="M625" i="121"/>
  <c r="N625" i="121"/>
  <c r="O625" i="121"/>
  <c r="P625" i="121"/>
  <c r="Q625" i="121"/>
  <c r="I626" i="121"/>
  <c r="I627" i="121" s="1"/>
  <c r="J626" i="121"/>
  <c r="K626" i="121"/>
  <c r="K627" i="121" s="1"/>
  <c r="L626" i="121"/>
  <c r="M626" i="121"/>
  <c r="M627" i="121" s="1"/>
  <c r="N626" i="121"/>
  <c r="O626" i="121"/>
  <c r="O627" i="121" s="1"/>
  <c r="P626" i="121"/>
  <c r="P627" i="121" s="1"/>
  <c r="Q626" i="121"/>
  <c r="Q627" i="121" s="1"/>
  <c r="H626" i="121"/>
  <c r="H627" i="121" s="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MO451" i="121" s="1"/>
  <c r="Q451" i="121"/>
  <c r="LC451" i="121" s="1"/>
  <c r="N452" i="121"/>
  <c r="MB452" i="121" s="1"/>
  <c r="O452" i="121"/>
  <c r="P452" i="121"/>
  <c r="Q452" i="121"/>
  <c r="N453" i="121"/>
  <c r="O453" i="121"/>
  <c r="P453" i="121"/>
  <c r="MO453" i="121" s="1"/>
  <c r="Q453" i="121"/>
  <c r="KY453" i="121" s="1"/>
  <c r="N454" i="121"/>
  <c r="O454" i="121"/>
  <c r="P454" i="121"/>
  <c r="Q454" i="121"/>
  <c r="N455" i="121"/>
  <c r="O455" i="121"/>
  <c r="P455" i="121"/>
  <c r="Q455" i="121"/>
  <c r="N456" i="121"/>
  <c r="O456" i="121"/>
  <c r="P456" i="121"/>
  <c r="Q456" i="121"/>
  <c r="N457" i="121"/>
  <c r="O457" i="121"/>
  <c r="P457" i="121"/>
  <c r="Q457" i="121"/>
  <c r="N458" i="121"/>
  <c r="O458" i="121"/>
  <c r="P458" i="121"/>
  <c r="Q458" i="121"/>
  <c r="KZ458" i="121" s="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L452" i="121" s="1"/>
  <c r="M452" i="121" s="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AN456" i="121" s="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MK460" i="121" s="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B461" i="121"/>
  <c r="LJ461" i="121" s="1"/>
  <c r="B462" i="121"/>
  <c r="LG462" i="121" s="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39" i="121"/>
  <c r="P244" i="121"/>
  <c r="P243" i="121"/>
  <c r="M244" i="121"/>
  <c r="M243" i="121"/>
  <c r="J244" i="121"/>
  <c r="J243" i="121"/>
  <c r="J245" i="121" s="1"/>
  <c r="G244" i="121"/>
  <c r="A244" i="121" s="1"/>
  <c r="G243" i="121"/>
  <c r="G242" i="12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7" i="121"/>
  <c r="S216" i="121"/>
  <c r="S215" i="121"/>
  <c r="G223" i="121"/>
  <c r="A223" i="121" s="1"/>
  <c r="G222" i="121"/>
  <c r="G221" i="121"/>
  <c r="G220" i="121"/>
  <c r="G219"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S156" i="121"/>
  <c r="P156" i="121"/>
  <c r="M156" i="121"/>
  <c r="J156" i="121"/>
  <c r="G156" i="121"/>
  <c r="C156" i="121"/>
  <c r="S150" i="121"/>
  <c r="S149" i="121"/>
  <c r="S148" i="121"/>
  <c r="P150" i="121"/>
  <c r="P149" i="12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Q1258"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H654" i="121"/>
  <c r="T651" i="121"/>
  <c r="Q649" i="121"/>
  <c r="M649" i="121"/>
  <c r="I649" i="121"/>
  <c r="S646" i="121"/>
  <c r="O645" i="121"/>
  <c r="T642" i="121"/>
  <c r="O640" i="121"/>
  <c r="K640" i="121"/>
  <c r="S637" i="121"/>
  <c r="O636" i="121"/>
  <c r="N636" i="121"/>
  <c r="M636" i="121"/>
  <c r="K636" i="121"/>
  <c r="I636" i="121"/>
  <c r="T633" i="121"/>
  <c r="Q631" i="121"/>
  <c r="M631" i="121"/>
  <c r="I631" i="121"/>
  <c r="S628" i="121"/>
  <c r="N627" i="121"/>
  <c r="L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LW462" i="121"/>
  <c r="LJ462" i="121"/>
  <c r="KW462" i="121"/>
  <c r="KG462" i="121"/>
  <c r="JQ462" i="121"/>
  <c r="JA462" i="121"/>
  <c r="IN462" i="121"/>
  <c r="IF462" i="121"/>
  <c r="ID462" i="121"/>
  <c r="IC462" i="121"/>
  <c r="IB462" i="121"/>
  <c r="IA462" i="121"/>
  <c r="HZ462" i="121"/>
  <c r="HX462" i="121"/>
  <c r="HM462" i="121"/>
  <c r="GZ462" i="121"/>
  <c r="GR462" i="121"/>
  <c r="GG462" i="121"/>
  <c r="GF462" i="121"/>
  <c r="GE462" i="121"/>
  <c r="GD462" i="121"/>
  <c r="GC462" i="121"/>
  <c r="GB462" i="121"/>
  <c r="GA462" i="121"/>
  <c r="FZ462" i="121"/>
  <c r="FY462" i="121"/>
  <c r="FX462" i="121"/>
  <c r="FW462" i="121"/>
  <c r="FT462" i="121"/>
  <c r="FL462" i="121"/>
  <c r="FA462" i="121"/>
  <c r="EN462" i="121"/>
  <c r="EH462" i="121"/>
  <c r="EG462" i="121"/>
  <c r="EF462" i="121"/>
  <c r="EE462" i="121"/>
  <c r="ED462" i="121"/>
  <c r="DX462" i="121"/>
  <c r="DP462" i="121"/>
  <c r="DE462" i="121"/>
  <c r="CR462" i="121"/>
  <c r="CJ462" i="121"/>
  <c r="BY462" i="121"/>
  <c r="BL462" i="121"/>
  <c r="BD462" i="121"/>
  <c r="AS462" i="121"/>
  <c r="AF462" i="121"/>
  <c r="X462" i="121"/>
  <c r="LR461" i="121"/>
  <c r="KZ461" i="121"/>
  <c r="KR461" i="121"/>
  <c r="KJ461" i="121"/>
  <c r="KB461" i="121"/>
  <c r="JT461" i="121"/>
  <c r="JL461" i="121"/>
  <c r="JD461" i="121"/>
  <c r="IV461" i="121"/>
  <c r="IN461" i="121"/>
  <c r="IF461" i="121"/>
  <c r="ID461" i="121"/>
  <c r="IB461" i="121"/>
  <c r="IA461" i="121"/>
  <c r="HZ461" i="121"/>
  <c r="HV461" i="121"/>
  <c r="GF461" i="121"/>
  <c r="GE461" i="121"/>
  <c r="GD461" i="121"/>
  <c r="GC461" i="121"/>
  <c r="GB461" i="121"/>
  <c r="GA461" i="121"/>
  <c r="FZ461" i="121"/>
  <c r="FY461" i="121"/>
  <c r="FX461" i="121"/>
  <c r="FW461" i="121"/>
  <c r="EW461" i="121"/>
  <c r="EH461" i="121"/>
  <c r="EG461" i="121"/>
  <c r="EF461" i="121"/>
  <c r="EE461" i="121"/>
  <c r="ED461" i="121"/>
  <c r="DA461" i="121"/>
  <c r="BU461" i="121"/>
  <c r="AO461" i="121"/>
  <c r="ML460" i="121"/>
  <c r="LY460" i="121"/>
  <c r="LQ460" i="121"/>
  <c r="LI460" i="121"/>
  <c r="IB460" i="121"/>
  <c r="HT460" i="121"/>
  <c r="HL460" i="121"/>
  <c r="HD460" i="121"/>
  <c r="GV460" i="121"/>
  <c r="GN460" i="121"/>
  <c r="GF460" i="121"/>
  <c r="FX460" i="121"/>
  <c r="FP460" i="121"/>
  <c r="FH460" i="121"/>
  <c r="EZ460" i="121"/>
  <c r="ER460" i="121"/>
  <c r="EJ460" i="121"/>
  <c r="EB460" i="121"/>
  <c r="DT460" i="121"/>
  <c r="DL460" i="121"/>
  <c r="DD460" i="121"/>
  <c r="CV460" i="121"/>
  <c r="CN460" i="121"/>
  <c r="CF460" i="121"/>
  <c r="BX460" i="121"/>
  <c r="BP460" i="121"/>
  <c r="BH460" i="121"/>
  <c r="AZ460" i="121"/>
  <c r="AR460" i="121"/>
  <c r="AJ460" i="121"/>
  <c r="AB460" i="121"/>
  <c r="MN459" i="121"/>
  <c r="MK459" i="121"/>
  <c r="MB459" i="121"/>
  <c r="LY459" i="121"/>
  <c r="LT459" i="121"/>
  <c r="LQ459" i="121"/>
  <c r="LL459" i="121"/>
  <c r="LI459" i="121"/>
  <c r="KR459" i="121"/>
  <c r="KB459" i="121"/>
  <c r="JB459" i="121"/>
  <c r="IL459" i="121"/>
  <c r="IA459" i="121"/>
  <c r="HX459" i="121"/>
  <c r="HS459" i="121"/>
  <c r="HP459" i="121"/>
  <c r="HK459" i="121"/>
  <c r="HH459" i="121"/>
  <c r="HC459" i="121"/>
  <c r="GZ459" i="121"/>
  <c r="GU459" i="121"/>
  <c r="GR459" i="121"/>
  <c r="GM459" i="121"/>
  <c r="GJ459" i="121"/>
  <c r="GE459" i="121"/>
  <c r="GB459" i="121"/>
  <c r="FW459" i="121"/>
  <c r="FT459" i="121"/>
  <c r="FO459" i="121"/>
  <c r="FL459" i="121"/>
  <c r="FG459" i="121"/>
  <c r="FD459" i="121"/>
  <c r="EY459" i="121"/>
  <c r="EV459" i="121"/>
  <c r="EQ459" i="121"/>
  <c r="EN459" i="121"/>
  <c r="EI459" i="121"/>
  <c r="EF459" i="121"/>
  <c r="EA459" i="121"/>
  <c r="DX459" i="121"/>
  <c r="DS459" i="121"/>
  <c r="DP459" i="121"/>
  <c r="DK459" i="121"/>
  <c r="DH459" i="121"/>
  <c r="DC459" i="121"/>
  <c r="CZ459" i="121"/>
  <c r="CU459" i="121"/>
  <c r="CR459" i="121"/>
  <c r="CM459" i="121"/>
  <c r="CJ459" i="121"/>
  <c r="CE459" i="121"/>
  <c r="CB459" i="121"/>
  <c r="BW459" i="121"/>
  <c r="BT459" i="121"/>
  <c r="BO459" i="121"/>
  <c r="BL459" i="121"/>
  <c r="BG459" i="121"/>
  <c r="BD459" i="121"/>
  <c r="AY459" i="121"/>
  <c r="AV459" i="121"/>
  <c r="AQ459" i="121"/>
  <c r="AN459" i="121"/>
  <c r="AI459" i="121"/>
  <c r="AF459" i="121"/>
  <c r="AA459" i="121"/>
  <c r="X459" i="121"/>
  <c r="ML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KO458" i="121"/>
  <c r="KE458" i="121"/>
  <c r="IY458" i="121"/>
  <c r="IN458" i="121"/>
  <c r="ID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U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E457" i="121"/>
  <c r="HA457" i="121"/>
  <c r="GS457" i="121"/>
  <c r="GF457" i="121"/>
  <c r="GE457" i="121"/>
  <c r="GD457" i="121"/>
  <c r="GC457" i="121"/>
  <c r="GB457" i="121"/>
  <c r="GA457" i="121"/>
  <c r="FZ457" i="121"/>
  <c r="FY457" i="121"/>
  <c r="FX457" i="121"/>
  <c r="FW457" i="121"/>
  <c r="FU457" i="121"/>
  <c r="FM457" i="121"/>
  <c r="ES457" i="121"/>
  <c r="EO457" i="121"/>
  <c r="EH457" i="121"/>
  <c r="EG457" i="121"/>
  <c r="EF457" i="121"/>
  <c r="EE457" i="121"/>
  <c r="ED457" i="121"/>
  <c r="EC457" i="121"/>
  <c r="DY457" i="121"/>
  <c r="DQ457" i="121"/>
  <c r="CW457" i="121"/>
  <c r="CS457" i="121"/>
  <c r="CK457" i="121"/>
  <c r="BQ457" i="121"/>
  <c r="BM457" i="121"/>
  <c r="BE457" i="121"/>
  <c r="AK457" i="121"/>
  <c r="AG457" i="121"/>
  <c r="Y457" i="121"/>
  <c r="MF456" i="121"/>
  <c r="MD456" i="121"/>
  <c r="LY456" i="121"/>
  <c r="LX456" i="121"/>
  <c r="LV456" i="121"/>
  <c r="LQ456" i="121"/>
  <c r="LP456" i="121"/>
  <c r="LN456" i="121"/>
  <c r="LI456" i="121"/>
  <c r="LH456" i="121"/>
  <c r="LC456" i="121"/>
  <c r="KB456" i="121"/>
  <c r="JW456" i="121"/>
  <c r="JL456" i="121"/>
  <c r="IK456" i="121"/>
  <c r="IF456" i="121"/>
  <c r="IC456" i="121"/>
  <c r="HX456" i="121"/>
  <c r="HW456" i="121"/>
  <c r="HU456" i="121"/>
  <c r="HP456" i="121"/>
  <c r="HO456" i="121"/>
  <c r="HM456" i="121"/>
  <c r="HH456" i="121"/>
  <c r="HG456" i="121"/>
  <c r="HE456" i="121"/>
  <c r="GZ456" i="121"/>
  <c r="GY456" i="121"/>
  <c r="GW456" i="121"/>
  <c r="GR456" i="121"/>
  <c r="GQ456" i="121"/>
  <c r="GO456" i="121"/>
  <c r="GJ456" i="121"/>
  <c r="GI456" i="121"/>
  <c r="GG456" i="121"/>
  <c r="GB456" i="121"/>
  <c r="GA456" i="121"/>
  <c r="FY456" i="121"/>
  <c r="FT456" i="121"/>
  <c r="FS456" i="121"/>
  <c r="FQ456" i="121"/>
  <c r="FP456" i="121"/>
  <c r="FL456" i="121"/>
  <c r="FK456" i="121"/>
  <c r="FI456" i="121"/>
  <c r="FH456" i="121"/>
  <c r="FD456" i="121"/>
  <c r="FC456" i="121"/>
  <c r="FB456" i="121"/>
  <c r="FA456" i="121"/>
  <c r="EZ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I453" i="121"/>
  <c r="MH453" i="121"/>
  <c r="MC453" i="121"/>
  <c r="LM453" i="121"/>
  <c r="LI453" i="121"/>
  <c r="LD453" i="121"/>
  <c r="LC453" i="121"/>
  <c r="KZ453" i="121"/>
  <c r="KN453" i="121"/>
  <c r="KM453" i="121"/>
  <c r="KJ453" i="121"/>
  <c r="JX453" i="121"/>
  <c r="JW453" i="121"/>
  <c r="JT453" i="121"/>
  <c r="JH453" i="121"/>
  <c r="JG453" i="121"/>
  <c r="JD453" i="121"/>
  <c r="IR453" i="121"/>
  <c r="IQ453" i="121"/>
  <c r="IN453" i="121"/>
  <c r="ID453" i="121"/>
  <c r="IC453" i="121"/>
  <c r="IB453" i="121"/>
  <c r="IA453" i="121"/>
  <c r="HZ453" i="121"/>
  <c r="HM453" i="121"/>
  <c r="HI453" i="121"/>
  <c r="HE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C452" i="121"/>
  <c r="LU452" i="121"/>
  <c r="LM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U452" i="121"/>
  <c r="HM452" i="121"/>
  <c r="HE452" i="121"/>
  <c r="GW452" i="121"/>
  <c r="GO452" i="121"/>
  <c r="GG452" i="121"/>
  <c r="FY452" i="121"/>
  <c r="FQ452" i="121"/>
  <c r="FI452" i="121"/>
  <c r="FA452" i="121"/>
  <c r="ES452" i="121"/>
  <c r="EK452" i="121"/>
  <c r="EC452" i="121"/>
  <c r="DU452" i="121"/>
  <c r="DM452" i="121"/>
  <c r="DE452" i="121"/>
  <c r="CW452" i="121"/>
  <c r="CO452" i="121"/>
  <c r="CG452" i="121"/>
  <c r="BY452" i="121"/>
  <c r="BQ452" i="121"/>
  <c r="BI452" i="121"/>
  <c r="BA452" i="121"/>
  <c r="AS452" i="121"/>
  <c r="AK452" i="121"/>
  <c r="AC452" i="121"/>
  <c r="MT451" i="121"/>
  <c r="MQ451" i="121"/>
  <c r="MH451" i="121"/>
  <c r="ME451" i="121"/>
  <c r="MD451" i="121"/>
  <c r="LX451" i="121"/>
  <c r="LW451" i="121"/>
  <c r="LV451" i="121"/>
  <c r="LP451" i="121"/>
  <c r="LO451" i="121"/>
  <c r="LN451" i="121"/>
  <c r="LM451" i="121"/>
  <c r="LL451" i="121"/>
  <c r="LK451" i="121"/>
  <c r="LJ451" i="121"/>
  <c r="LI451" i="121"/>
  <c r="LH451" i="121"/>
  <c r="LG451" i="121"/>
  <c r="LF451" i="121"/>
  <c r="KT451" i="121"/>
  <c r="KQ451" i="121"/>
  <c r="KP451" i="121"/>
  <c r="KD451" i="121"/>
  <c r="KA451" i="121"/>
  <c r="JZ451" i="121"/>
  <c r="JN451" i="121"/>
  <c r="JK451" i="121"/>
  <c r="JJ451" i="121"/>
  <c r="IX451" i="121"/>
  <c r="IU451" i="121"/>
  <c r="IT451" i="121"/>
  <c r="IH451" i="121"/>
  <c r="IE451" i="121"/>
  <c r="ID451" i="121"/>
  <c r="IC451" i="121"/>
  <c r="IB451" i="121"/>
  <c r="IA451" i="121"/>
  <c r="HZ451" i="121"/>
  <c r="HX451" i="121"/>
  <c r="HW451" i="121"/>
  <c r="HV451" i="121"/>
  <c r="HP451" i="121"/>
  <c r="HO451" i="121"/>
  <c r="HN451" i="121"/>
  <c r="HH451" i="121"/>
  <c r="HG451" i="121"/>
  <c r="HF451" i="121"/>
  <c r="GZ451" i="121"/>
  <c r="GY451" i="121"/>
  <c r="GX451" i="121"/>
  <c r="GR451" i="121"/>
  <c r="GQ451" i="121"/>
  <c r="GP451" i="121"/>
  <c r="GJ451" i="121"/>
  <c r="GI451" i="121"/>
  <c r="GH451" i="121"/>
  <c r="GF451" i="121"/>
  <c r="GE451" i="121"/>
  <c r="GD451" i="121"/>
  <c r="GC451" i="121"/>
  <c r="GB451" i="121"/>
  <c r="GA451" i="121"/>
  <c r="FZ451" i="121"/>
  <c r="FY451" i="121"/>
  <c r="FX451" i="121"/>
  <c r="FW451" i="121"/>
  <c r="FV451" i="121"/>
  <c r="FU451" i="121"/>
  <c r="FT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B393" i="121"/>
  <c r="A391" i="121"/>
  <c r="S301" i="121"/>
  <c r="S299" i="121"/>
  <c r="S297" i="121"/>
  <c r="N289" i="121"/>
  <c r="J289" i="121"/>
  <c r="S254" i="121"/>
  <c r="P254" i="121"/>
  <c r="M254" i="121"/>
  <c r="J254" i="121"/>
  <c r="G254" i="121"/>
  <c r="O251" i="121"/>
  <c r="P245"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S134" i="121"/>
  <c r="M134" i="121"/>
  <c r="O129" i="121"/>
  <c r="M128" i="121"/>
  <c r="A125" i="121"/>
  <c r="O118" i="121"/>
  <c r="D116" i="121"/>
  <c r="A112" i="121"/>
  <c r="L47" i="121"/>
  <c r="O9" i="121"/>
  <c r="J654" i="121" l="1"/>
  <c r="H645" i="121"/>
  <c r="P645" i="121"/>
  <c r="MK456" i="121"/>
  <c r="AC460" i="121"/>
  <c r="AK460" i="121"/>
  <c r="AS460" i="121"/>
  <c r="BA460" i="121"/>
  <c r="BI460" i="121"/>
  <c r="BQ460" i="121"/>
  <c r="BY460" i="121"/>
  <c r="CG460" i="121"/>
  <c r="CO460" i="121"/>
  <c r="CW460" i="121"/>
  <c r="DE460" i="121"/>
  <c r="DM460" i="121"/>
  <c r="DU460" i="121"/>
  <c r="EC460" i="121"/>
  <c r="EK460" i="121"/>
  <c r="ES460" i="121"/>
  <c r="FA460" i="121"/>
  <c r="FI460" i="121"/>
  <c r="FQ460" i="121"/>
  <c r="FY460" i="121"/>
  <c r="GG460" i="121"/>
  <c r="GO460" i="121"/>
  <c r="GW460" i="121"/>
  <c r="HE460" i="121"/>
  <c r="HM460" i="121"/>
  <c r="HU460" i="121"/>
  <c r="IC460" i="121"/>
  <c r="LJ460" i="121"/>
  <c r="LR460" i="121"/>
  <c r="LZ460" i="121"/>
  <c r="MM460" i="121"/>
  <c r="AS461" i="121"/>
  <c r="BY461" i="121"/>
  <c r="DE461" i="121"/>
  <c r="FA461" i="121"/>
  <c r="GG461" i="121"/>
  <c r="LZ461"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ID460" i="121"/>
  <c r="LK460" i="121"/>
  <c r="LS460" i="121"/>
  <c r="MA460" i="121"/>
  <c r="MN460" i="121"/>
  <c r="AW461" i="121"/>
  <c r="CC461" i="121"/>
  <c r="DI461" i="121"/>
  <c r="FE461" i="121"/>
  <c r="GK461"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IS460" i="121"/>
  <c r="LL460" i="121"/>
  <c r="LT460" i="121"/>
  <c r="MB460" i="121"/>
  <c r="MO460" i="121"/>
  <c r="BA461" i="121"/>
  <c r="CG461" i="121"/>
  <c r="DM461" i="121"/>
  <c r="FI461" i="121"/>
  <c r="GO461" i="121"/>
  <c r="X460" i="121"/>
  <c r="AF460" i="121"/>
  <c r="AN460" i="121"/>
  <c r="AV460" i="121"/>
  <c r="BD460" i="121"/>
  <c r="BL460" i="121"/>
  <c r="BT460" i="121"/>
  <c r="CB460" i="121"/>
  <c r="CJ460" i="121"/>
  <c r="CR460" i="121"/>
  <c r="CZ460" i="121"/>
  <c r="DH460" i="121"/>
  <c r="DP460" i="121"/>
  <c r="DX460" i="121"/>
  <c r="EF460" i="121"/>
  <c r="EN460" i="121"/>
  <c r="EV460" i="121"/>
  <c r="FD460" i="121"/>
  <c r="FL460" i="121"/>
  <c r="FT460" i="121"/>
  <c r="GB460" i="121"/>
  <c r="GJ460" i="121"/>
  <c r="GR460" i="121"/>
  <c r="GZ460" i="121"/>
  <c r="HH460" i="121"/>
  <c r="HP460" i="121"/>
  <c r="HX460" i="121"/>
  <c r="KO460" i="121"/>
  <c r="LM460" i="121"/>
  <c r="LU460" i="121"/>
  <c r="MC460" i="121"/>
  <c r="MT460" i="121"/>
  <c r="BE461" i="121"/>
  <c r="CK461" i="121"/>
  <c r="DQ461" i="121"/>
  <c r="FM461" i="121"/>
  <c r="GS461"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K460" i="121"/>
  <c r="GS460" i="121"/>
  <c r="HA460" i="121"/>
  <c r="HI460" i="121"/>
  <c r="HQ460" i="121"/>
  <c r="HY460" i="121"/>
  <c r="LE460" i="121"/>
  <c r="LN460" i="121"/>
  <c r="LV460" i="121"/>
  <c r="MD460" i="121"/>
  <c r="Y461" i="121"/>
  <c r="BI461" i="121"/>
  <c r="CO461" i="121"/>
  <c r="DU461" i="121"/>
  <c r="EK461" i="121"/>
  <c r="FQ461" i="121"/>
  <c r="GX461" i="121"/>
  <c r="Z460" i="121"/>
  <c r="AH460" i="121"/>
  <c r="AP460" i="121"/>
  <c r="AX460" i="121"/>
  <c r="BF460" i="121"/>
  <c r="BN460" i="121"/>
  <c r="BV460" i="121"/>
  <c r="CD460" i="121"/>
  <c r="CL460" i="121"/>
  <c r="CT460" i="121"/>
  <c r="DB460" i="121"/>
  <c r="DJ460" i="121"/>
  <c r="DR460" i="121"/>
  <c r="DZ460" i="121"/>
  <c r="EH460" i="121"/>
  <c r="EP460" i="121"/>
  <c r="EX460" i="121"/>
  <c r="FF460" i="121"/>
  <c r="FN460" i="121"/>
  <c r="FV460" i="121"/>
  <c r="GD460" i="121"/>
  <c r="GL460" i="121"/>
  <c r="GT460" i="121"/>
  <c r="HB460" i="121"/>
  <c r="HJ460" i="121"/>
  <c r="HR460" i="121"/>
  <c r="HZ460" i="121"/>
  <c r="LG460" i="121"/>
  <c r="LO460" i="121"/>
  <c r="LW460" i="121"/>
  <c r="ME460" i="121"/>
  <c r="AC461" i="121"/>
  <c r="BM461" i="121"/>
  <c r="CS461" i="121"/>
  <c r="DY461" i="121"/>
  <c r="EO461" i="121"/>
  <c r="FU461" i="121"/>
  <c r="HF461" i="121"/>
  <c r="AA460" i="121"/>
  <c r="AI460" i="121"/>
  <c r="AQ460" i="121"/>
  <c r="AY460" i="121"/>
  <c r="BG460" i="121"/>
  <c r="BO460" i="121"/>
  <c r="BW460" i="121"/>
  <c r="CE460" i="121"/>
  <c r="CM460" i="121"/>
  <c r="CU460" i="121"/>
  <c r="DC460" i="121"/>
  <c r="DK460" i="121"/>
  <c r="DS460" i="121"/>
  <c r="EA460" i="121"/>
  <c r="EI460" i="121"/>
  <c r="EQ460" i="121"/>
  <c r="EY460" i="121"/>
  <c r="FG460" i="121"/>
  <c r="FO460" i="121"/>
  <c r="FW460" i="121"/>
  <c r="GE460" i="121"/>
  <c r="GM460" i="121"/>
  <c r="GU460" i="121"/>
  <c r="HC460" i="121"/>
  <c r="HK460" i="121"/>
  <c r="HS460" i="121"/>
  <c r="IA460" i="121"/>
  <c r="LH460" i="121"/>
  <c r="LP460" i="121"/>
  <c r="LX460" i="121"/>
  <c r="AG461" i="121"/>
  <c r="BQ461" i="121"/>
  <c r="CW461" i="121"/>
  <c r="EC461" i="121"/>
  <c r="ES461" i="121"/>
  <c r="HN461" i="121"/>
  <c r="MH460" i="121"/>
  <c r="Q1213" i="121"/>
  <c r="L683" i="121"/>
  <c r="J627" i="121"/>
  <c r="JO458" i="121"/>
  <c r="LE458" i="121"/>
  <c r="JQ460" i="121"/>
  <c r="JT458" i="121"/>
  <c r="JY460" i="121"/>
  <c r="II458" i="121"/>
  <c r="JY458" i="121"/>
  <c r="KG460" i="121"/>
  <c r="IS458" i="121"/>
  <c r="KJ458" i="121"/>
  <c r="IK460" i="121"/>
  <c r="KW460" i="121"/>
  <c r="JD458" i="121"/>
  <c r="KU458" i="121"/>
  <c r="JA460" i="121"/>
  <c r="JI458" i="121"/>
  <c r="JI460" i="121"/>
  <c r="AC462" i="121"/>
  <c r="BI462" i="121"/>
  <c r="CO462" i="121"/>
  <c r="DU462" i="121"/>
  <c r="EK462" i="121"/>
  <c r="FQ462" i="121"/>
  <c r="GW462" i="121"/>
  <c r="LZ462" i="121"/>
  <c r="MB457" i="121"/>
  <c r="LI457" i="121"/>
  <c r="HM457" i="121"/>
  <c r="GG457" i="121"/>
  <c r="FA457" i="121"/>
  <c r="DE457" i="121"/>
  <c r="BY457" i="121"/>
  <c r="AS457" i="121"/>
  <c r="HI457" i="121"/>
  <c r="EW457" i="121"/>
  <c r="DA457" i="121"/>
  <c r="BU457" i="121"/>
  <c r="AO457" i="121"/>
  <c r="LY457" i="121"/>
  <c r="GW457" i="121"/>
  <c r="FQ457" i="121"/>
  <c r="EK457" i="121"/>
  <c r="DU457" i="121"/>
  <c r="CO457" i="121"/>
  <c r="BI457" i="121"/>
  <c r="AC457" i="121"/>
  <c r="LQ457" i="121"/>
  <c r="HU457" i="121"/>
  <c r="GO457" i="121"/>
  <c r="FI457" i="121"/>
  <c r="DM457" i="121"/>
  <c r="CG457" i="121"/>
  <c r="BA457" i="121"/>
  <c r="LM457" i="121"/>
  <c r="HQ457" i="121"/>
  <c r="GK457" i="121"/>
  <c r="FE457" i="121"/>
  <c r="DI457" i="121"/>
  <c r="CC457" i="121"/>
  <c r="AW457" i="121"/>
  <c r="B488" i="121"/>
  <c r="MN458" i="121"/>
  <c r="MM458" i="121"/>
  <c r="MM487" i="121" s="1"/>
  <c r="AP458" i="121"/>
  <c r="MK458" i="121"/>
  <c r="MI458" i="121"/>
  <c r="MR458" i="121"/>
  <c r="IC458" i="121"/>
  <c r="FA458" i="121"/>
  <c r="MO458" i="121"/>
  <c r="MM456" i="121"/>
  <c r="MA456" i="121"/>
  <c r="LS456" i="121"/>
  <c r="LK456" i="121"/>
  <c r="KM456" i="121"/>
  <c r="IV456" i="121"/>
  <c r="HZ456" i="121"/>
  <c r="HR456" i="121"/>
  <c r="HJ456" i="121"/>
  <c r="HB456" i="121"/>
  <c r="GT456" i="121"/>
  <c r="GL456" i="121"/>
  <c r="GD456" i="121"/>
  <c r="FV456" i="121"/>
  <c r="FN456" i="121"/>
  <c r="FF456" i="121"/>
  <c r="EX456" i="121"/>
  <c r="ML456" i="121"/>
  <c r="LZ456" i="121"/>
  <c r="LR456" i="121"/>
  <c r="LJ456" i="121"/>
  <c r="KG456" i="121"/>
  <c r="IQ456" i="121"/>
  <c r="HY456" i="121"/>
  <c r="HQ456" i="121"/>
  <c r="HI456" i="121"/>
  <c r="HA456" i="121"/>
  <c r="GS456" i="121"/>
  <c r="GK456" i="121"/>
  <c r="GC456" i="121"/>
  <c r="FU456" i="121"/>
  <c r="FM456" i="121"/>
  <c r="FE456" i="121"/>
  <c r="EW456" i="121"/>
  <c r="ME456" i="121"/>
  <c r="LW456" i="121"/>
  <c r="LO456" i="121"/>
  <c r="LG456" i="121"/>
  <c r="JQ456" i="121"/>
  <c r="ID456" i="121"/>
  <c r="HV456" i="121"/>
  <c r="HN456" i="121"/>
  <c r="HF456" i="121"/>
  <c r="GX456" i="121"/>
  <c r="GP456" i="121"/>
  <c r="GH456" i="121"/>
  <c r="FZ456" i="121"/>
  <c r="FR456" i="121"/>
  <c r="FJ456" i="121"/>
  <c r="MO456" i="121"/>
  <c r="MC456" i="121"/>
  <c r="LU456" i="121"/>
  <c r="LM456" i="121"/>
  <c r="KW456" i="121"/>
  <c r="JG456" i="121"/>
  <c r="IB456" i="121"/>
  <c r="HT456" i="121"/>
  <c r="HL456" i="121"/>
  <c r="HD456" i="121"/>
  <c r="GV456" i="121"/>
  <c r="GN456" i="121"/>
  <c r="GF456" i="121"/>
  <c r="FX456" i="121"/>
  <c r="MN456" i="121"/>
  <c r="MB456" i="121"/>
  <c r="LT456" i="121"/>
  <c r="LL456" i="121"/>
  <c r="KR456" i="121"/>
  <c r="JA456" i="121"/>
  <c r="IA456" i="121"/>
  <c r="HS456" i="121"/>
  <c r="HK456" i="121"/>
  <c r="HC456" i="121"/>
  <c r="GU456" i="121"/>
  <c r="GM456" i="121"/>
  <c r="GE456" i="121"/>
  <c r="FW456" i="121"/>
  <c r="FO456" i="121"/>
  <c r="FG456" i="121"/>
  <c r="EY456" i="121"/>
  <c r="AK462" i="121"/>
  <c r="BQ462" i="121"/>
  <c r="CW462" i="121"/>
  <c r="EC462" i="121"/>
  <c r="ES462" i="121"/>
  <c r="HE462" i="121"/>
  <c r="AN462" i="121"/>
  <c r="BT462" i="121"/>
  <c r="CZ462" i="121"/>
  <c r="EV462" i="121"/>
  <c r="HH462" i="121"/>
  <c r="MB462" i="121"/>
  <c r="LT462" i="121"/>
  <c r="LL462" i="121"/>
  <c r="HR462" i="121"/>
  <c r="HJ462" i="121"/>
  <c r="HB462" i="121"/>
  <c r="GT462" i="121"/>
  <c r="GL462" i="121"/>
  <c r="FV462" i="121"/>
  <c r="FN462" i="121"/>
  <c r="FF462" i="121"/>
  <c r="EX462" i="121"/>
  <c r="EP462" i="121"/>
  <c r="DZ462" i="121"/>
  <c r="DR462" i="121"/>
  <c r="DJ462" i="121"/>
  <c r="DB462" i="121"/>
  <c r="CT462" i="121"/>
  <c r="CL462" i="121"/>
  <c r="CD462" i="121"/>
  <c r="BV462" i="121"/>
  <c r="BN462" i="121"/>
  <c r="BF462" i="121"/>
  <c r="AX462" i="121"/>
  <c r="AP462" i="121"/>
  <c r="AH462" i="121"/>
  <c r="Z462" i="121"/>
  <c r="MA462" i="121"/>
  <c r="LS462" i="121"/>
  <c r="LK462" i="121"/>
  <c r="HY462" i="121"/>
  <c r="HQ462" i="121"/>
  <c r="HI462" i="121"/>
  <c r="HA462" i="121"/>
  <c r="GS462" i="121"/>
  <c r="GK462" i="121"/>
  <c r="FU462" i="121"/>
  <c r="FM462" i="121"/>
  <c r="FE462" i="121"/>
  <c r="EW462" i="121"/>
  <c r="EO462" i="121"/>
  <c r="DY462" i="121"/>
  <c r="DQ462" i="121"/>
  <c r="DI462" i="121"/>
  <c r="DA462" i="121"/>
  <c r="CS462" i="121"/>
  <c r="CK462" i="121"/>
  <c r="CC462" i="121"/>
  <c r="BU462" i="121"/>
  <c r="BM462" i="121"/>
  <c r="BE462" i="121"/>
  <c r="AW462" i="121"/>
  <c r="AO462" i="121"/>
  <c r="AG462" i="121"/>
  <c r="Y462" i="121"/>
  <c r="LY462" i="121"/>
  <c r="LQ462" i="121"/>
  <c r="LI462" i="121"/>
  <c r="HW462" i="121"/>
  <c r="HO462" i="121"/>
  <c r="HG462" i="121"/>
  <c r="GY462" i="121"/>
  <c r="GQ462" i="121"/>
  <c r="GI462" i="121"/>
  <c r="FS462" i="121"/>
  <c r="FK462" i="121"/>
  <c r="FC462" i="121"/>
  <c r="EU462" i="121"/>
  <c r="EM462" i="121"/>
  <c r="DW462" i="121"/>
  <c r="DO462" i="121"/>
  <c r="DG462" i="121"/>
  <c r="CY462" i="121"/>
  <c r="CQ462" i="121"/>
  <c r="CI462" i="121"/>
  <c r="CA462" i="121"/>
  <c r="BS462" i="121"/>
  <c r="BK462" i="121"/>
  <c r="BC462" i="121"/>
  <c r="AU462" i="121"/>
  <c r="AM462" i="121"/>
  <c r="AE462" i="121"/>
  <c r="LX462" i="121"/>
  <c r="LP462" i="121"/>
  <c r="LH462" i="121"/>
  <c r="HV462" i="121"/>
  <c r="HN462" i="121"/>
  <c r="HF462" i="121"/>
  <c r="GX462" i="121"/>
  <c r="GP462" i="121"/>
  <c r="GH462" i="121"/>
  <c r="FR462" i="121"/>
  <c r="FJ462" i="121"/>
  <c r="FB462" i="121"/>
  <c r="ET462" i="121"/>
  <c r="EL462" i="121"/>
  <c r="DV462" i="121"/>
  <c r="DN462" i="121"/>
  <c r="DF462" i="121"/>
  <c r="CX462" i="121"/>
  <c r="CP462" i="121"/>
  <c r="CH462" i="121"/>
  <c r="BZ462" i="121"/>
  <c r="BR462" i="121"/>
  <c r="BJ462" i="121"/>
  <c r="BB462" i="121"/>
  <c r="AT462" i="121"/>
  <c r="AL462" i="121"/>
  <c r="AD462" i="121"/>
  <c r="MD462" i="121"/>
  <c r="LV462" i="121"/>
  <c r="LN462" i="121"/>
  <c r="HT462" i="121"/>
  <c r="HL462" i="121"/>
  <c r="HD462" i="121"/>
  <c r="GV462" i="121"/>
  <c r="GN462" i="121"/>
  <c r="FP462" i="121"/>
  <c r="FH462" i="121"/>
  <c r="EZ462" i="121"/>
  <c r="ER462" i="121"/>
  <c r="EJ462" i="121"/>
  <c r="EB462" i="121"/>
  <c r="DT462" i="121"/>
  <c r="DL462" i="121"/>
  <c r="DD462" i="121"/>
  <c r="CV462" i="121"/>
  <c r="CN462" i="121"/>
  <c r="CF462" i="121"/>
  <c r="BX462" i="121"/>
  <c r="BP462" i="121"/>
  <c r="BH462" i="121"/>
  <c r="AZ462" i="121"/>
  <c r="AR462" i="121"/>
  <c r="AJ462" i="121"/>
  <c r="AB462" i="121"/>
  <c r="MC462" i="121"/>
  <c r="LU462" i="121"/>
  <c r="LM462" i="121"/>
  <c r="HS462" i="121"/>
  <c r="HK462" i="121"/>
  <c r="HC462" i="121"/>
  <c r="GU462" i="121"/>
  <c r="GM462" i="121"/>
  <c r="FO462" i="121"/>
  <c r="FG462" i="121"/>
  <c r="EY462" i="121"/>
  <c r="EQ462" i="121"/>
  <c r="EI462" i="121"/>
  <c r="EA462" i="121"/>
  <c r="DS462" i="121"/>
  <c r="DK462" i="121"/>
  <c r="DC462" i="121"/>
  <c r="CU462" i="121"/>
  <c r="CM462" i="121"/>
  <c r="CE462" i="121"/>
  <c r="BW462" i="121"/>
  <c r="BO462" i="121"/>
  <c r="BG462" i="121"/>
  <c r="AY462" i="121"/>
  <c r="AQ462" i="121"/>
  <c r="AI462" i="121"/>
  <c r="AA462" i="121"/>
  <c r="MO461" i="121"/>
  <c r="AK461" i="121"/>
  <c r="MN461" i="121"/>
  <c r="ML461" i="121"/>
  <c r="IC461" i="121"/>
  <c r="MK461" i="121"/>
  <c r="MT459" i="121"/>
  <c r="MD459" i="121"/>
  <c r="LV459" i="121"/>
  <c r="LN459" i="121"/>
  <c r="LC459" i="121"/>
  <c r="JL459" i="121"/>
  <c r="IC459" i="121"/>
  <c r="IC487" i="121" s="1"/>
  <c r="HU459" i="121"/>
  <c r="HM459" i="121"/>
  <c r="HE459" i="121"/>
  <c r="GW459" i="121"/>
  <c r="GO459" i="121"/>
  <c r="GG459" i="121"/>
  <c r="FY459" i="121"/>
  <c r="FQ459" i="121"/>
  <c r="FI459" i="121"/>
  <c r="FA459" i="121"/>
  <c r="ES459" i="121"/>
  <c r="EK459" i="121"/>
  <c r="EC459" i="121"/>
  <c r="DU459" i="121"/>
  <c r="DM459" i="121"/>
  <c r="DE459" i="121"/>
  <c r="CW459" i="121"/>
  <c r="CO459" i="121"/>
  <c r="CG459" i="121"/>
  <c r="BY459" i="121"/>
  <c r="BQ459" i="121"/>
  <c r="BI459" i="121"/>
  <c r="BA459" i="121"/>
  <c r="AS459" i="121"/>
  <c r="AK459" i="121"/>
  <c r="AC459" i="121"/>
  <c r="MO459" i="121"/>
  <c r="MC459" i="121"/>
  <c r="LU459" i="121"/>
  <c r="LM459" i="121"/>
  <c r="KX459" i="121"/>
  <c r="JG459" i="121"/>
  <c r="IB459" i="121"/>
  <c r="HT459" i="121"/>
  <c r="HL459" i="121"/>
  <c r="HD459" i="121"/>
  <c r="GV459" i="121"/>
  <c r="GN459" i="121"/>
  <c r="GF459" i="121"/>
  <c r="FX459" i="121"/>
  <c r="FX487" i="121" s="1"/>
  <c r="FP459" i="121"/>
  <c r="FH459" i="121"/>
  <c r="EZ459" i="121"/>
  <c r="ER459" i="121"/>
  <c r="EJ459" i="121"/>
  <c r="EB459" i="121"/>
  <c r="DT459" i="121"/>
  <c r="DL459" i="121"/>
  <c r="DD459" i="121"/>
  <c r="CV459" i="121"/>
  <c r="CN459" i="121"/>
  <c r="CF459" i="121"/>
  <c r="BX459" i="121"/>
  <c r="BP459" i="121"/>
  <c r="BH459" i="121"/>
  <c r="AZ459" i="121"/>
  <c r="AR459" i="121"/>
  <c r="AJ459" i="121"/>
  <c r="AB459" i="121"/>
  <c r="MM459" i="121"/>
  <c r="MA459" i="121"/>
  <c r="LS459" i="121"/>
  <c r="LK459" i="121"/>
  <c r="KM459" i="121"/>
  <c r="IV459" i="121"/>
  <c r="HZ459" i="121"/>
  <c r="HR459" i="121"/>
  <c r="HJ459" i="121"/>
  <c r="HB459" i="121"/>
  <c r="GT459" i="121"/>
  <c r="GL459" i="121"/>
  <c r="GD459" i="121"/>
  <c r="FV459" i="121"/>
  <c r="FN459" i="121"/>
  <c r="FF459" i="121"/>
  <c r="EX459" i="121"/>
  <c r="EP459" i="121"/>
  <c r="EH459" i="121"/>
  <c r="DZ459" i="121"/>
  <c r="DR459" i="121"/>
  <c r="DJ459" i="121"/>
  <c r="DB459" i="121"/>
  <c r="CT459" i="121"/>
  <c r="CL459" i="121"/>
  <c r="CD459" i="121"/>
  <c r="BV459" i="121"/>
  <c r="BN459" i="121"/>
  <c r="BF459" i="121"/>
  <c r="AX459" i="121"/>
  <c r="AP459" i="121"/>
  <c r="AH459" i="121"/>
  <c r="Z459" i="121"/>
  <c r="ML459" i="121"/>
  <c r="LZ459" i="121"/>
  <c r="LR459" i="121"/>
  <c r="LJ459" i="121"/>
  <c r="KH459" i="121"/>
  <c r="IQ459" i="121"/>
  <c r="HY459" i="121"/>
  <c r="HQ459" i="121"/>
  <c r="HI459" i="121"/>
  <c r="HA459" i="121"/>
  <c r="GS459" i="121"/>
  <c r="GK459" i="121"/>
  <c r="GC459" i="121"/>
  <c r="FU459" i="121"/>
  <c r="FM459" i="121"/>
  <c r="FE459" i="121"/>
  <c r="EW459" i="121"/>
  <c r="EO459" i="121"/>
  <c r="EG459" i="121"/>
  <c r="DY459" i="121"/>
  <c r="DQ459" i="121"/>
  <c r="DI459" i="121"/>
  <c r="DA459" i="121"/>
  <c r="CS459" i="121"/>
  <c r="CK459" i="121"/>
  <c r="CC459" i="121"/>
  <c r="BU459" i="121"/>
  <c r="BM459" i="121"/>
  <c r="BE459" i="121"/>
  <c r="AW459" i="121"/>
  <c r="AO459" i="121"/>
  <c r="AG459" i="121"/>
  <c r="Y459" i="121"/>
  <c r="MF459" i="121"/>
  <c r="LX459" i="121"/>
  <c r="LP459" i="121"/>
  <c r="LH459" i="121"/>
  <c r="JW459" i="121"/>
  <c r="IF459" i="121"/>
  <c r="HW459" i="121"/>
  <c r="HO459" i="121"/>
  <c r="HG459" i="121"/>
  <c r="GY459" i="121"/>
  <c r="GQ459" i="121"/>
  <c r="GI459" i="121"/>
  <c r="GA459" i="121"/>
  <c r="FS459" i="121"/>
  <c r="FK459" i="121"/>
  <c r="FC459" i="121"/>
  <c r="EU459" i="121"/>
  <c r="EM459" i="121"/>
  <c r="EE459" i="121"/>
  <c r="DW459" i="121"/>
  <c r="DO459" i="121"/>
  <c r="DG459" i="121"/>
  <c r="CY459" i="121"/>
  <c r="CQ459" i="121"/>
  <c r="CI459" i="121"/>
  <c r="CA459" i="121"/>
  <c r="BS459" i="121"/>
  <c r="BK459" i="121"/>
  <c r="BC459" i="121"/>
  <c r="AU459" i="121"/>
  <c r="AM459" i="121"/>
  <c r="AE459" i="121"/>
  <c r="ME459" i="121"/>
  <c r="LW459" i="121"/>
  <c r="LO459" i="121"/>
  <c r="LG459" i="121"/>
  <c r="JR459" i="121"/>
  <c r="ID459" i="121"/>
  <c r="HV459" i="121"/>
  <c r="HN459" i="121"/>
  <c r="HF459" i="121"/>
  <c r="GX459" i="121"/>
  <c r="GP459" i="121"/>
  <c r="GH459" i="121"/>
  <c r="FZ459" i="121"/>
  <c r="FR459" i="121"/>
  <c r="FJ459" i="121"/>
  <c r="FB459" i="121"/>
  <c r="ET459" i="121"/>
  <c r="EL459" i="121"/>
  <c r="ED459" i="121"/>
  <c r="ED487" i="121" s="1"/>
  <c r="K504" i="121" s="1"/>
  <c r="DV459" i="121"/>
  <c r="DN459" i="121"/>
  <c r="DF459" i="121"/>
  <c r="CX459" i="121"/>
  <c r="CP459" i="121"/>
  <c r="CH459" i="121"/>
  <c r="BZ459" i="121"/>
  <c r="BR459" i="121"/>
  <c r="BJ459" i="121"/>
  <c r="BB459" i="121"/>
  <c r="AT459" i="121"/>
  <c r="AL459" i="121"/>
  <c r="AD459" i="121"/>
  <c r="AV462" i="121"/>
  <c r="CB462" i="121"/>
  <c r="DH462" i="121"/>
  <c r="FD462" i="121"/>
  <c r="GJ462" i="121"/>
  <c r="HP462" i="121"/>
  <c r="LO462" i="121"/>
  <c r="MM461" i="121"/>
  <c r="BA462" i="121"/>
  <c r="CG462" i="121"/>
  <c r="DM462" i="121"/>
  <c r="FI462" i="121"/>
  <c r="GO462" i="121"/>
  <c r="HU462" i="121"/>
  <c r="LR462" i="121"/>
  <c r="AD452" i="121"/>
  <c r="AL452" i="121"/>
  <c r="AT452" i="121"/>
  <c r="BB452" i="121"/>
  <c r="BJ452" i="121"/>
  <c r="CP452" i="121"/>
  <c r="CX452" i="121"/>
  <c r="DF452" i="121"/>
  <c r="DN452" i="121"/>
  <c r="DV452" i="121"/>
  <c r="ED452" i="121"/>
  <c r="EL452" i="121"/>
  <c r="ET452" i="121"/>
  <c r="FB452" i="121"/>
  <c r="FJ452" i="121"/>
  <c r="FR452" i="121"/>
  <c r="FZ452" i="121"/>
  <c r="GH452" i="121"/>
  <c r="GP452" i="121"/>
  <c r="GX452" i="121"/>
  <c r="HF452" i="121"/>
  <c r="HN452" i="121"/>
  <c r="HV452" i="121"/>
  <c r="LN452" i="121"/>
  <c r="LV452" i="121"/>
  <c r="MD452" i="121"/>
  <c r="CH452" i="121"/>
  <c r="AM452" i="121"/>
  <c r="BS452" i="121"/>
  <c r="CQ452" i="121"/>
  <c r="DO452" i="121"/>
  <c r="EE452" i="121"/>
  <c r="FC452" i="121"/>
  <c r="FS452" i="121"/>
  <c r="GY452" i="121"/>
  <c r="HW452" i="121"/>
  <c r="LW452" i="121"/>
  <c r="GK451" i="121"/>
  <c r="GS451" i="121"/>
  <c r="HA451" i="121"/>
  <c r="HI451" i="121"/>
  <c r="HQ451" i="121"/>
  <c r="HY451" i="121"/>
  <c r="II451" i="121"/>
  <c r="IY451" i="121"/>
  <c r="JO451" i="121"/>
  <c r="KE451" i="121"/>
  <c r="KU451" i="121"/>
  <c r="LQ451" i="121"/>
  <c r="LY451" i="121"/>
  <c r="MI451" i="121"/>
  <c r="X452" i="121"/>
  <c r="AF452" i="121"/>
  <c r="AN452" i="121"/>
  <c r="AV452" i="121"/>
  <c r="BD452" i="121"/>
  <c r="BL452" i="121"/>
  <c r="BT452" i="121"/>
  <c r="CB452" i="121"/>
  <c r="CJ452" i="121"/>
  <c r="CR452" i="121"/>
  <c r="CZ452" i="121"/>
  <c r="DH452" i="121"/>
  <c r="DP452" i="121"/>
  <c r="DX452" i="121"/>
  <c r="EF452" i="121"/>
  <c r="EN452" i="121"/>
  <c r="EV452" i="121"/>
  <c r="FD452" i="121"/>
  <c r="FL452" i="121"/>
  <c r="FT452" i="121"/>
  <c r="GB452" i="121"/>
  <c r="GB487" i="121" s="1"/>
  <c r="K609" i="121" s="1"/>
  <c r="GJ452" i="121"/>
  <c r="GR452" i="121"/>
  <c r="GZ452" i="121"/>
  <c r="HH452" i="121"/>
  <c r="HP452" i="121"/>
  <c r="HX452" i="121"/>
  <c r="LH452" i="121"/>
  <c r="LP452" i="121"/>
  <c r="LX452" i="121"/>
  <c r="GK453" i="121"/>
  <c r="HQ453" i="121"/>
  <c r="IE453" i="121"/>
  <c r="IU453" i="121"/>
  <c r="JK453" i="121"/>
  <c r="KA453" i="121"/>
  <c r="KQ453" i="121"/>
  <c r="MK453" i="121"/>
  <c r="ML451" i="121"/>
  <c r="GL451" i="121"/>
  <c r="GT451" i="121"/>
  <c r="HB451" i="121"/>
  <c r="HJ451" i="121"/>
  <c r="HR451" i="121"/>
  <c r="IL451" i="121"/>
  <c r="JB451" i="121"/>
  <c r="JR451" i="121"/>
  <c r="KH451" i="121"/>
  <c r="KX451" i="121"/>
  <c r="LR451" i="121"/>
  <c r="LZ451" i="121"/>
  <c r="MK451" i="121"/>
  <c r="Y452" i="121"/>
  <c r="AG452" i="121"/>
  <c r="AO452" i="121"/>
  <c r="AW452" i="121"/>
  <c r="BE452" i="121"/>
  <c r="BM452" i="121"/>
  <c r="BU452" i="121"/>
  <c r="CC452" i="121"/>
  <c r="CK452" i="121"/>
  <c r="CS452" i="121"/>
  <c r="DA452" i="121"/>
  <c r="DI452" i="121"/>
  <c r="DQ452" i="121"/>
  <c r="DY452" i="121"/>
  <c r="EG452" i="121"/>
  <c r="EO452" i="121"/>
  <c r="EO487" i="121" s="1"/>
  <c r="L600" i="121" s="1"/>
  <c r="EW452" i="121"/>
  <c r="FE452" i="121"/>
  <c r="FM452" i="121"/>
  <c r="FU452" i="121"/>
  <c r="GC452" i="121"/>
  <c r="GK452" i="121"/>
  <c r="GS452" i="121"/>
  <c r="HA452" i="121"/>
  <c r="HI452" i="121"/>
  <c r="HQ452" i="121"/>
  <c r="HY452" i="121"/>
  <c r="LI452" i="121"/>
  <c r="LQ452" i="121"/>
  <c r="LY452" i="121"/>
  <c r="GO453" i="121"/>
  <c r="HU453" i="121"/>
  <c r="IF453" i="121"/>
  <c r="IV453" i="121"/>
  <c r="JL453" i="121"/>
  <c r="KB453" i="121"/>
  <c r="KR453" i="121"/>
  <c r="ML453" i="121"/>
  <c r="BR452" i="121"/>
  <c r="AE452" i="121"/>
  <c r="BC452" i="121"/>
  <c r="CA452" i="121"/>
  <c r="CY452" i="121"/>
  <c r="DW452" i="121"/>
  <c r="EU452" i="121"/>
  <c r="GI452" i="121"/>
  <c r="HO452" i="121"/>
  <c r="LO452" i="121"/>
  <c r="GM451" i="121"/>
  <c r="GU451" i="121"/>
  <c r="HC451" i="121"/>
  <c r="HK451" i="121"/>
  <c r="HS451" i="121"/>
  <c r="IM451" i="121"/>
  <c r="JC451" i="121"/>
  <c r="JS451" i="121"/>
  <c r="KI451" i="121"/>
  <c r="KY451" i="121"/>
  <c r="LS451" i="121"/>
  <c r="MA451" i="121"/>
  <c r="MM451" i="121"/>
  <c r="Z452" i="121"/>
  <c r="AH452" i="121"/>
  <c r="AP452" i="121"/>
  <c r="AX452" i="121"/>
  <c r="BF452" i="121"/>
  <c r="BN452" i="121"/>
  <c r="BV452" i="121"/>
  <c r="CD452" i="121"/>
  <c r="CL452" i="121"/>
  <c r="CT452" i="121"/>
  <c r="DB452" i="121"/>
  <c r="DJ452" i="121"/>
  <c r="DR452" i="121"/>
  <c r="DZ452" i="121"/>
  <c r="EH452" i="121"/>
  <c r="EP452" i="121"/>
  <c r="EX452" i="121"/>
  <c r="FF452" i="121"/>
  <c r="FN452" i="121"/>
  <c r="FV452" i="121"/>
  <c r="GD452" i="121"/>
  <c r="GL452" i="121"/>
  <c r="GT452" i="121"/>
  <c r="HB452" i="121"/>
  <c r="HJ452" i="121"/>
  <c r="HR452" i="121"/>
  <c r="LJ452" i="121"/>
  <c r="LR452" i="121"/>
  <c r="LZ452" i="121"/>
  <c r="GS453" i="121"/>
  <c r="HY453" i="121"/>
  <c r="II453" i="121"/>
  <c r="IY453" i="121"/>
  <c r="JO453" i="121"/>
  <c r="KE453" i="121"/>
  <c r="KU453" i="121"/>
  <c r="LQ453" i="121"/>
  <c r="MM453" i="121"/>
  <c r="BZ452" i="121"/>
  <c r="A452" i="121"/>
  <c r="AU452" i="121"/>
  <c r="BK452" i="121"/>
  <c r="CI452" i="121"/>
  <c r="DG452" i="121"/>
  <c r="EM452" i="121"/>
  <c r="FK452" i="121"/>
  <c r="GA452" i="121"/>
  <c r="GQ452" i="121"/>
  <c r="HG452" i="121"/>
  <c r="LG452" i="121"/>
  <c r="ME452" i="121"/>
  <c r="GN451" i="121"/>
  <c r="GV451" i="121"/>
  <c r="HD451" i="121"/>
  <c r="HL451" i="121"/>
  <c r="HT451" i="121"/>
  <c r="IP451" i="121"/>
  <c r="JF451" i="121"/>
  <c r="JV451" i="121"/>
  <c r="KL451" i="121"/>
  <c r="LB451" i="121"/>
  <c r="LT451" i="121"/>
  <c r="MB451" i="121"/>
  <c r="MN451" i="121"/>
  <c r="MN487" i="121" s="1"/>
  <c r="AA452" i="121"/>
  <c r="AI452" i="121"/>
  <c r="AQ452" i="121"/>
  <c r="AY452" i="121"/>
  <c r="BG452" i="121"/>
  <c r="BO452" i="121"/>
  <c r="BW452" i="121"/>
  <c r="CE452" i="121"/>
  <c r="CM452" i="121"/>
  <c r="CU452" i="121"/>
  <c r="DC452" i="121"/>
  <c r="DK452" i="121"/>
  <c r="DS452" i="121"/>
  <c r="EA452" i="121"/>
  <c r="EI452" i="121"/>
  <c r="EQ452" i="121"/>
  <c r="EY452" i="121"/>
  <c r="FG452" i="121"/>
  <c r="FO452" i="121"/>
  <c r="FW452" i="121"/>
  <c r="GE452" i="121"/>
  <c r="GM452" i="121"/>
  <c r="GU452" i="121"/>
  <c r="HC452" i="121"/>
  <c r="HK452" i="121"/>
  <c r="HS452" i="121"/>
  <c r="LK452" i="121"/>
  <c r="LS452" i="121"/>
  <c r="MA452" i="121"/>
  <c r="GW453" i="121"/>
  <c r="IJ453" i="121"/>
  <c r="IZ453" i="121"/>
  <c r="JP453" i="121"/>
  <c r="KF453" i="121"/>
  <c r="KV453" i="121"/>
  <c r="LU453" i="121"/>
  <c r="MN453" i="121"/>
  <c r="MB453" i="121"/>
  <c r="GG451" i="121"/>
  <c r="GO451" i="121"/>
  <c r="GW451" i="121"/>
  <c r="HE451" i="121"/>
  <c r="HM451" i="121"/>
  <c r="HU451" i="121"/>
  <c r="IQ451" i="121"/>
  <c r="JG451" i="121"/>
  <c r="JW451" i="121"/>
  <c r="KM451" i="121"/>
  <c r="LU451" i="121"/>
  <c r="MC451" i="121"/>
  <c r="AB452" i="121"/>
  <c r="AJ452" i="121"/>
  <c r="AR452" i="121"/>
  <c r="AZ452" i="121"/>
  <c r="BH452" i="121"/>
  <c r="BP452" i="121"/>
  <c r="BX452" i="121"/>
  <c r="CF452" i="121"/>
  <c r="CN452" i="121"/>
  <c r="CV452" i="121"/>
  <c r="DD452" i="121"/>
  <c r="DL452" i="121"/>
  <c r="DT452" i="121"/>
  <c r="EB452" i="121"/>
  <c r="EJ452" i="121"/>
  <c r="ER452" i="121"/>
  <c r="EZ452" i="121"/>
  <c r="FH452" i="121"/>
  <c r="FP452" i="121"/>
  <c r="FX452" i="121"/>
  <c r="GF452" i="121"/>
  <c r="GN452" i="121"/>
  <c r="GV452" i="121"/>
  <c r="HD452" i="121"/>
  <c r="HL452" i="121"/>
  <c r="HT452" i="121"/>
  <c r="LL452" i="121"/>
  <c r="LT452" i="121"/>
  <c r="HA453" i="121"/>
  <c r="IM453" i="121"/>
  <c r="JC453" i="121"/>
  <c r="JS453" i="121"/>
  <c r="KI453" i="121"/>
  <c r="LY453" i="121"/>
  <c r="M451" i="121"/>
  <c r="FS451" i="121"/>
  <c r="MP451" i="121"/>
  <c r="L412" i="121"/>
  <c r="J412" i="121"/>
  <c r="J292" i="121"/>
  <c r="MM486" i="121"/>
  <c r="G196" i="121"/>
  <c r="J196" i="121"/>
  <c r="M196" i="121"/>
  <c r="G202" i="121"/>
  <c r="J202" i="121"/>
  <c r="P202" i="121"/>
  <c r="S202" i="121"/>
  <c r="S213"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AW487" i="121" s="1"/>
  <c r="K499" i="121" s="1"/>
  <c r="BE465" i="121"/>
  <c r="BM465" i="121"/>
  <c r="BU465" i="121"/>
  <c r="CC465" i="12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E150" i="121" s="1"/>
  <c r="M146" i="121"/>
  <c r="S146" i="121"/>
  <c r="S196" i="121"/>
  <c r="P269" i="121"/>
  <c r="P273" i="121" s="1"/>
  <c r="G128" i="121"/>
  <c r="S128" i="121"/>
  <c r="P196" i="121"/>
  <c r="G230" i="121"/>
  <c r="S230" i="121"/>
  <c r="J128" i="121"/>
  <c r="P146" i="121"/>
  <c r="M151" i="121"/>
  <c r="G183" i="121"/>
  <c r="J183" i="121"/>
  <c r="P183" i="121"/>
  <c r="S183" i="121"/>
  <c r="K1532" i="121"/>
  <c r="G213" i="121"/>
  <c r="F236" i="121"/>
  <c r="A127" i="121"/>
  <c r="F232" i="121"/>
  <c r="J556" i="121"/>
  <c r="A237" i="121"/>
  <c r="N1385" i="121"/>
  <c r="EG487" i="121"/>
  <c r="N504" i="121" s="1"/>
  <c r="GC487" i="121"/>
  <c r="L609" i="121" s="1"/>
  <c r="J1414" i="121"/>
  <c r="K1395" i="121"/>
  <c r="J1452" i="121"/>
  <c r="F147" i="121"/>
  <c r="BI487" i="121"/>
  <c r="M502" i="121" s="1"/>
  <c r="D151" i="121"/>
  <c r="EH487" i="121"/>
  <c r="O504" i="121" s="1"/>
  <c r="GD487" i="121"/>
  <c r="M609" i="121" s="1"/>
  <c r="HZ487" i="121"/>
  <c r="ML487" i="121"/>
  <c r="EF487" i="121"/>
  <c r="M504" i="121" s="1"/>
  <c r="GF487" i="121"/>
  <c r="O609" i="121" s="1"/>
  <c r="E1167" i="121"/>
  <c r="C721" i="121"/>
  <c r="C723" i="121"/>
  <c r="D716" i="121"/>
  <c r="D723" i="121"/>
  <c r="D721" i="121"/>
  <c r="D715" i="121"/>
  <c r="E714" i="121"/>
  <c r="C716" i="121"/>
  <c r="IE487" i="121"/>
  <c r="K578" i="121" s="1"/>
  <c r="IB487" i="121" l="1"/>
  <c r="ID487" i="121"/>
  <c r="ES487" i="121"/>
  <c r="K601" i="121" s="1"/>
  <c r="ET487" i="121"/>
  <c r="L601" i="121" s="1"/>
  <c r="MO487" i="121"/>
  <c r="JM487" i="121"/>
  <c r="O580" i="121" s="1"/>
  <c r="O591" i="121" s="1"/>
  <c r="IV487" i="121"/>
  <c r="M585" i="121" s="1"/>
  <c r="IX487" i="121"/>
  <c r="O585" i="121" s="1"/>
  <c r="MH487" i="121"/>
  <c r="HF487" i="121"/>
  <c r="MF487" i="121"/>
  <c r="KO487" i="121"/>
  <c r="M574" i="121" s="1"/>
  <c r="JI487" i="121"/>
  <c r="K580" i="121" s="1"/>
  <c r="K591" i="121" s="1"/>
  <c r="CC487" i="121"/>
  <c r="M534" i="121" s="1"/>
  <c r="LY487" i="121"/>
  <c r="LX487" i="121"/>
  <c r="FT487" i="121"/>
  <c r="M607" i="121" s="1"/>
  <c r="BX487" i="121"/>
  <c r="M535" i="121" s="1"/>
  <c r="LP487" i="121"/>
  <c r="GX487" i="121"/>
  <c r="M554" i="121" s="1"/>
  <c r="HI487" i="121"/>
  <c r="MK487" i="121"/>
  <c r="P682" i="121" s="1"/>
  <c r="EE487" i="121"/>
  <c r="L504" i="121" s="1"/>
  <c r="P504" i="121" s="1"/>
  <c r="HM487" i="121"/>
  <c r="M557" i="121" s="1"/>
  <c r="FD487" i="121"/>
  <c r="L603" i="121" s="1"/>
  <c r="DT487" i="121"/>
  <c r="K543" i="121" s="1"/>
  <c r="CN487" i="121"/>
  <c r="N532" i="121" s="1"/>
  <c r="BH487" i="121"/>
  <c r="L502" i="121" s="1"/>
  <c r="AB487" i="121"/>
  <c r="O494" i="121" s="1"/>
  <c r="BJ487" i="121"/>
  <c r="N502" i="121" s="1"/>
  <c r="JR487" i="121"/>
  <c r="O581" i="121" s="1"/>
  <c r="O592" i="121" s="1"/>
  <c r="LE487" i="121"/>
  <c r="N577" i="121" s="1"/>
  <c r="IS487" i="121"/>
  <c r="O584" i="121" s="1"/>
  <c r="E148" i="121"/>
  <c r="FW487" i="121"/>
  <c r="FZ487" i="121"/>
  <c r="IW487" i="121"/>
  <c r="N585" i="121" s="1"/>
  <c r="JY487" i="121"/>
  <c r="L572" i="121" s="1"/>
  <c r="KS487" i="121"/>
  <c r="L576" i="121" s="1"/>
  <c r="IG487" i="121"/>
  <c r="M578" i="121" s="1"/>
  <c r="P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O593" i="121" s="1"/>
  <c r="IK487" i="121"/>
  <c r="L579" i="121" s="1"/>
  <c r="E149" i="12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N590"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O596" i="121"/>
  <c r="M595" i="121"/>
  <c r="E723" i="121"/>
  <c r="E721" i="121"/>
  <c r="E715" i="121"/>
  <c r="F714" i="121"/>
  <c r="E716" i="121"/>
  <c r="D720" i="121"/>
  <c r="D725" i="121" s="1"/>
  <c r="D733" i="121" s="1"/>
  <c r="D717" i="121"/>
  <c r="Q682" i="121"/>
  <c r="N595" i="121"/>
  <c r="M596" i="121" l="1"/>
  <c r="M590" i="121"/>
  <c r="K595" i="121"/>
  <c r="P576" i="121"/>
  <c r="P535" i="121"/>
  <c r="K590" i="121"/>
  <c r="L590" i="121"/>
  <c r="M594" i="121"/>
  <c r="P543" i="121"/>
  <c r="P577" i="121"/>
  <c r="N596" i="121"/>
  <c r="L595" i="121"/>
  <c r="P558" i="121"/>
  <c r="O553" i="121"/>
  <c r="Q683" i="121"/>
  <c r="L594" i="121"/>
  <c r="O563" i="121"/>
  <c r="Q681" i="121"/>
  <c r="P592" i="121"/>
  <c r="K589" i="121"/>
  <c r="P585" i="121"/>
  <c r="O556" i="121"/>
  <c r="P574" i="121"/>
  <c r="N594" i="121"/>
  <c r="L593" i="121"/>
  <c r="O569" i="121"/>
  <c r="P683" i="121"/>
  <c r="O595" i="121"/>
  <c r="P572" i="121"/>
  <c r="P581" i="121"/>
  <c r="P681" i="121"/>
  <c r="P579" i="121"/>
  <c r="N569" i="121"/>
  <c r="N563" i="121"/>
  <c r="P571" i="121"/>
  <c r="K594" i="121"/>
  <c r="M556" i="121"/>
  <c r="O590" i="121"/>
  <c r="M563" i="121"/>
  <c r="P575" i="121"/>
  <c r="L563" i="121"/>
  <c r="N589" i="121"/>
  <c r="L589" i="121"/>
  <c r="E151"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P590" i="121"/>
  <c r="P595" i="121"/>
  <c r="F723" i="121"/>
  <c r="F721" i="121"/>
  <c r="F715" i="121"/>
  <c r="G714" i="121"/>
  <c r="F716" i="121"/>
  <c r="E717" i="121"/>
  <c r="E720" i="121"/>
  <c r="E725" i="121" s="1"/>
  <c r="E733" i="121" s="1"/>
  <c r="P593" i="121" l="1"/>
  <c r="O523" i="121"/>
  <c r="P589" i="121"/>
  <c r="P563" i="121"/>
  <c r="P684" i="121" s="1"/>
  <c r="O514" i="121"/>
  <c r="O511" i="121"/>
  <c r="P503" i="121"/>
  <c r="P569" i="121"/>
  <c r="P594" i="121"/>
  <c r="L511" i="121"/>
  <c r="L517"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Q677" i="121" l="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818" i="121"/>
  <c r="E818" i="121"/>
  <c r="D818" i="121"/>
  <c r="C818" i="121"/>
  <c r="B818" i="121"/>
  <c r="K788" i="121"/>
  <c r="J788" i="121"/>
  <c r="I788" i="121"/>
  <c r="H788" i="121"/>
  <c r="G788" i="121"/>
  <c r="F788" i="121"/>
  <c r="E788" i="121"/>
  <c r="D788" i="121"/>
  <c r="C788" i="121"/>
  <c r="B788" i="121"/>
  <c r="E83" i="111"/>
  <c r="K756" i="121"/>
  <c r="J756" i="121"/>
  <c r="I756" i="121"/>
  <c r="H756" i="121"/>
  <c r="G756" i="121"/>
  <c r="F756" i="121"/>
  <c r="E56" i="111"/>
  <c r="E756" i="121" s="1"/>
  <c r="D56" i="111"/>
  <c r="D756" i="121" s="1"/>
  <c r="C56" i="111"/>
  <c r="C756" i="121" s="1"/>
  <c r="B56" i="111"/>
  <c r="B756" i="121" s="1"/>
  <c r="K24" i="111"/>
  <c r="K724" i="121" s="1"/>
  <c r="J24" i="111"/>
  <c r="J724" i="121" s="1"/>
  <c r="I24" i="111"/>
  <c r="I724" i="121" s="1"/>
  <c r="H24" i="111"/>
  <c r="H724" i="121" s="1"/>
  <c r="G24" i="111"/>
  <c r="G724" i="121" s="1"/>
  <c r="F24" i="111"/>
  <c r="F724" i="121" s="1"/>
  <c r="E24" i="111"/>
  <c r="E724" i="121" s="1"/>
  <c r="D24" i="111"/>
  <c r="D724" i="121" s="1"/>
  <c r="C24" i="111"/>
  <c r="C724" i="121" s="1"/>
  <c r="B724" i="12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B44" i="111"/>
  <c r="B744" i="121" s="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5" i="106"/>
  <c r="P88" i="121" s="1"/>
  <c r="P43" i="106"/>
  <c r="P42" i="106"/>
  <c r="P41" i="106"/>
  <c r="P84" i="121" s="1"/>
  <c r="P40" i="106"/>
  <c r="P83" i="121" s="1"/>
  <c r="S37" i="106"/>
  <c r="S19" i="106"/>
  <c r="S4" i="106"/>
  <c r="K29" i="105"/>
  <c r="O29" i="105" l="1"/>
  <c r="E18" i="89"/>
  <c r="A2" i="105"/>
  <c r="A1" i="121" s="1"/>
  <c r="A45" i="121"/>
  <c r="A307" i="121"/>
  <c r="J26" i="121"/>
  <c r="H8" i="100"/>
  <c r="E128" i="111"/>
  <c r="E16" i="87"/>
  <c r="H727" i="121"/>
  <c r="H735" i="121" s="1"/>
  <c r="E25" i="87"/>
  <c r="G759" i="121"/>
  <c r="G767" i="121" s="1"/>
  <c r="E37" i="87"/>
  <c r="I791" i="121"/>
  <c r="I798" i="121" s="1"/>
  <c r="B64" i="111"/>
  <c r="F34" i="86" s="1"/>
  <c r="E32" i="111"/>
  <c r="E732" i="121" s="1"/>
  <c r="K32" i="111"/>
  <c r="J32" i="111"/>
  <c r="D14" i="86"/>
  <c r="F32" i="111"/>
  <c r="C64" i="111"/>
  <c r="E14" i="86"/>
  <c r="D732" i="121"/>
  <c r="G32" i="111"/>
  <c r="D64" i="111"/>
  <c r="H32" i="111"/>
  <c r="E64" i="111"/>
  <c r="I32" i="111"/>
  <c r="F64" i="111"/>
  <c r="AV436" i="112"/>
  <c r="O1395" i="121"/>
  <c r="L1395" i="121" s="1"/>
  <c r="O222" i="112"/>
  <c r="O1379" i="121" s="1"/>
  <c r="O1381" i="121"/>
  <c r="O117" i="112"/>
  <c r="O1274" i="121" s="1"/>
  <c r="O1278" i="121"/>
  <c r="Q108" i="112"/>
  <c r="O1265" i="121"/>
  <c r="Q1265" i="121" s="1"/>
  <c r="O89" i="112"/>
  <c r="O1246" i="121" s="1"/>
  <c r="O1249" i="121"/>
  <c r="L80" i="112"/>
  <c r="O1237" i="121"/>
  <c r="L1237" i="121" s="1"/>
  <c r="Q46" i="112"/>
  <c r="O1203" i="121"/>
  <c r="Q1203" i="121" s="1"/>
  <c r="O37" i="112"/>
  <c r="O1194" i="121" s="1"/>
  <c r="O1201" i="121"/>
  <c r="Q25" i="112"/>
  <c r="Q1182" i="121"/>
  <c r="L1182" i="121"/>
  <c r="L25" i="112"/>
  <c r="O169" i="112"/>
  <c r="AW433" i="112" s="1"/>
  <c r="BB446" i="112"/>
  <c r="P1517" i="121"/>
  <c r="K378" i="112"/>
  <c r="P1326" i="121"/>
  <c r="K1527" i="121" s="1"/>
  <c r="AV432" i="112"/>
  <c r="O1317" i="121"/>
  <c r="K384" i="112"/>
  <c r="O1533" i="121"/>
  <c r="K1533" i="121" s="1"/>
  <c r="B53" i="82"/>
  <c r="B731" i="121"/>
  <c r="K144" i="112"/>
  <c r="L30" i="110"/>
  <c r="M30" i="110" s="1"/>
  <c r="L45" i="110"/>
  <c r="M45" i="110" s="1"/>
  <c r="L29" i="110"/>
  <c r="M29" i="110" s="1"/>
  <c r="L34" i="110"/>
  <c r="M34" i="110" s="1"/>
  <c r="L18" i="110"/>
  <c r="M18" i="110" s="1"/>
  <c r="L26" i="110"/>
  <c r="M26" i="110" s="1"/>
  <c r="L37" i="110"/>
  <c r="M37" i="110" s="1"/>
  <c r="L25" i="110"/>
  <c r="M25" i="110" s="1"/>
  <c r="L38" i="110"/>
  <c r="M38" i="110" s="1"/>
  <c r="L21" i="110"/>
  <c r="M21" i="110" s="1"/>
  <c r="L42" i="110"/>
  <c r="M42" i="110" s="1"/>
  <c r="L41" i="110"/>
  <c r="M41" i="110" s="1"/>
  <c r="L22" i="110"/>
  <c r="M22" i="110" s="1"/>
  <c r="L33" i="110"/>
  <c r="M33"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F122" i="107"/>
  <c r="C135" i="90"/>
  <c r="F126" i="107"/>
  <c r="D45" i="106"/>
  <c r="D88" i="121" s="1"/>
  <c r="E40" i="107"/>
  <c r="F40" i="107" s="1"/>
  <c r="E38" i="107"/>
  <c r="F38" i="107" s="1"/>
  <c r="I26" i="111"/>
  <c r="B58" i="111"/>
  <c r="J58" i="111"/>
  <c r="C90" i="111"/>
  <c r="K90" i="111"/>
  <c r="C120" i="111"/>
  <c r="B26" i="111"/>
  <c r="B40" i="111" s="1"/>
  <c r="B740" i="121" s="1"/>
  <c r="J26" i="111"/>
  <c r="C58" i="111"/>
  <c r="K58" i="111"/>
  <c r="D90" i="111"/>
  <c r="D120" i="111"/>
  <c r="C26" i="111"/>
  <c r="K26" i="111"/>
  <c r="D58" i="111"/>
  <c r="E90" i="111"/>
  <c r="E120" i="111"/>
  <c r="D26" i="111"/>
  <c r="E58" i="111"/>
  <c r="F90" i="111"/>
  <c r="F120" i="111"/>
  <c r="E26" i="111"/>
  <c r="F58" i="111"/>
  <c r="G90" i="111"/>
  <c r="F26" i="111"/>
  <c r="G58" i="111"/>
  <c r="H90" i="111"/>
  <c r="G26" i="111"/>
  <c r="H58" i="111"/>
  <c r="I90" i="111"/>
  <c r="H26" i="111"/>
  <c r="I58" i="111"/>
  <c r="B90" i="111"/>
  <c r="J90" i="111"/>
  <c r="B120" i="111"/>
  <c r="K28" i="121"/>
  <c r="H15" i="100"/>
  <c r="AZ443" i="112"/>
  <c r="P1488" i="121"/>
  <c r="L359" i="112"/>
  <c r="AZ437" i="112"/>
  <c r="P1414" i="121"/>
  <c r="BC430" i="112"/>
  <c r="P1298" i="121"/>
  <c r="O1178" i="121"/>
  <c r="O27" i="112"/>
  <c r="O1184" i="121" s="1"/>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O212" i="112"/>
  <c r="O1369" i="121" s="1"/>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V429" i="112"/>
  <c r="AW429" i="112"/>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5" i="112"/>
  <c r="AY427" i="112"/>
  <c r="AY429" i="112"/>
  <c r="AY431" i="112"/>
  <c r="AI458" i="112"/>
  <c r="L238" i="112"/>
  <c r="J378" i="112"/>
  <c r="AV433"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M115" i="110" s="1"/>
  <c r="GM49" i="110"/>
  <c r="L114" i="110" s="1"/>
  <c r="GQ49" i="110"/>
  <c r="GU49" i="110"/>
  <c r="GY49" i="110"/>
  <c r="N116" i="110" s="1"/>
  <c r="HC49" i="110"/>
  <c r="M117" i="110" s="1"/>
  <c r="HG49" i="110"/>
  <c r="HK49" i="110"/>
  <c r="K119" i="110" s="1"/>
  <c r="HO49" i="110"/>
  <c r="O119" i="110" s="1"/>
  <c r="O121"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124" i="107"/>
  <c r="E43" i="87" l="1"/>
  <c r="F14" i="86"/>
  <c r="R25" i="111"/>
  <c r="R24" i="111"/>
  <c r="B764" i="121"/>
  <c r="N28" i="121"/>
  <c r="Q672" i="121"/>
  <c r="P4" i="110"/>
  <c r="O28" i="121"/>
  <c r="P442" i="121"/>
  <c r="R31" i="111"/>
  <c r="E34" i="86"/>
  <c r="C732" i="121"/>
  <c r="C44" i="111"/>
  <c r="C744" i="121" s="1"/>
  <c r="K732" i="121"/>
  <c r="C10" i="86"/>
  <c r="C40" i="111"/>
  <c r="C740" i="121" s="1"/>
  <c r="E821" i="121"/>
  <c r="E828" i="121" s="1"/>
  <c r="E44" i="87"/>
  <c r="F821" i="121"/>
  <c r="F828" i="121" s="1"/>
  <c r="F128" i="111"/>
  <c r="E14" i="87"/>
  <c r="F727" i="121"/>
  <c r="F735" i="121" s="1"/>
  <c r="E12" i="87"/>
  <c r="D727" i="121"/>
  <c r="D735" i="121" s="1"/>
  <c r="E27" i="87"/>
  <c r="I759" i="121"/>
  <c r="I767" i="121" s="1"/>
  <c r="E38" i="87"/>
  <c r="J791" i="121"/>
  <c r="J798" i="121" s="1"/>
  <c r="E31" i="87"/>
  <c r="C791" i="121"/>
  <c r="C798" i="121" s="1"/>
  <c r="E40" i="87"/>
  <c r="B821" i="121"/>
  <c r="B828" i="121" s="1"/>
  <c r="B128" i="111"/>
  <c r="E32" i="87"/>
  <c r="D791" i="121"/>
  <c r="D798" i="121" s="1"/>
  <c r="E18" i="87"/>
  <c r="J727" i="121"/>
  <c r="J735" i="121" s="1"/>
  <c r="E30" i="87"/>
  <c r="B791" i="121"/>
  <c r="B798" i="121" s="1"/>
  <c r="E23" i="87"/>
  <c r="E759" i="121"/>
  <c r="E767" i="121" s="1"/>
  <c r="E21" i="87"/>
  <c r="C759" i="121"/>
  <c r="C767" i="121" s="1"/>
  <c r="E34" i="87"/>
  <c r="F791" i="121"/>
  <c r="F798" i="121" s="1"/>
  <c r="E28" i="87"/>
  <c r="J759" i="121"/>
  <c r="J767" i="121" s="1"/>
  <c r="E26" i="87"/>
  <c r="H759" i="121"/>
  <c r="H767" i="121" s="1"/>
  <c r="E42" i="87"/>
  <c r="D821" i="121"/>
  <c r="D828" i="121" s="1"/>
  <c r="D128" i="111"/>
  <c r="E22" i="87"/>
  <c r="D759" i="121"/>
  <c r="D767" i="121" s="1"/>
  <c r="E20" i="87"/>
  <c r="B759" i="121"/>
  <c r="B767" i="121" s="1"/>
  <c r="E17" i="87"/>
  <c r="I727" i="121"/>
  <c r="I735" i="121" s="1"/>
  <c r="E36" i="87"/>
  <c r="H791" i="121"/>
  <c r="H798" i="121" s="1"/>
  <c r="E13" i="87"/>
  <c r="E727" i="121"/>
  <c r="E735" i="121" s="1"/>
  <c r="E19" i="87"/>
  <c r="K727" i="121"/>
  <c r="K735" i="121" s="1"/>
  <c r="E24" i="87"/>
  <c r="F759" i="121"/>
  <c r="F767" i="121" s="1"/>
  <c r="E41" i="87"/>
  <c r="C821" i="121"/>
  <c r="C828" i="121" s="1"/>
  <c r="C128" i="111"/>
  <c r="E33" i="87"/>
  <c r="E791" i="121"/>
  <c r="E798" i="121" s="1"/>
  <c r="E11" i="87"/>
  <c r="C727" i="121"/>
  <c r="C735" i="121" s="1"/>
  <c r="E15" i="87"/>
  <c r="G727" i="121"/>
  <c r="G735" i="121" s="1"/>
  <c r="E35" i="87"/>
  <c r="G791" i="121"/>
  <c r="G798" i="121" s="1"/>
  <c r="E29" i="87"/>
  <c r="K759" i="121"/>
  <c r="K767" i="121" s="1"/>
  <c r="E39" i="87"/>
  <c r="K791" i="121"/>
  <c r="K798" i="121" s="1"/>
  <c r="R33" i="111"/>
  <c r="H14" i="86"/>
  <c r="G732" i="121"/>
  <c r="G34" i="86"/>
  <c r="C764" i="121"/>
  <c r="R34" i="111"/>
  <c r="G14" i="86"/>
  <c r="F732" i="121"/>
  <c r="R32" i="111"/>
  <c r="R40" i="111"/>
  <c r="R27" i="111"/>
  <c r="C54" i="86"/>
  <c r="F764" i="121"/>
  <c r="R38" i="111"/>
  <c r="R30" i="111"/>
  <c r="C34" i="86"/>
  <c r="I732" i="121"/>
  <c r="R39" i="111"/>
  <c r="R29" i="111"/>
  <c r="R37" i="111"/>
  <c r="I34" i="86"/>
  <c r="E764" i="121"/>
  <c r="R36" i="111"/>
  <c r="R28" i="111"/>
  <c r="I14" i="86"/>
  <c r="H732" i="121"/>
  <c r="D34" i="86"/>
  <c r="J732" i="121"/>
  <c r="H34" i="86"/>
  <c r="D764" i="121"/>
  <c r="R35" i="111"/>
  <c r="I47" i="106" s="1"/>
  <c r="I90" i="121" s="1"/>
  <c r="C14" i="86"/>
  <c r="B732" i="121"/>
  <c r="R26" i="111"/>
  <c r="R21" i="111"/>
  <c r="R22" i="111"/>
  <c r="O156" i="110"/>
  <c r="K156" i="110"/>
  <c r="P94" i="110"/>
  <c r="D10" i="86"/>
  <c r="E41" i="107"/>
  <c r="G41" i="107"/>
  <c r="G37" i="107" s="1"/>
  <c r="G148" i="121"/>
  <c r="J150" i="121"/>
  <c r="G150" i="121"/>
  <c r="O206" i="112"/>
  <c r="AV435" i="112" s="1"/>
  <c r="O1300" i="121"/>
  <c r="O55" i="112"/>
  <c r="O1212" i="121" s="1"/>
  <c r="O1235" i="121"/>
  <c r="Q1201" i="121"/>
  <c r="L1194" i="121"/>
  <c r="O20" i="112"/>
  <c r="O1177" i="121" s="1"/>
  <c r="P310" i="112"/>
  <c r="P1364" i="121"/>
  <c r="C53" i="82"/>
  <c r="C731" i="121"/>
  <c r="N100" i="110"/>
  <c r="K115" i="110"/>
  <c r="P162" i="110"/>
  <c r="M155" i="110"/>
  <c r="O118" i="110"/>
  <c r="P56" i="110"/>
  <c r="J25" i="95" s="1"/>
  <c r="P167" i="110"/>
  <c r="M151" i="110"/>
  <c r="N118" i="110"/>
  <c r="P108" i="110"/>
  <c r="N121" i="110"/>
  <c r="P114" i="110"/>
  <c r="M49" i="110"/>
  <c r="M50" i="110" s="1"/>
  <c r="B715" i="121" s="1"/>
  <c r="M487" i="121"/>
  <c r="M488" i="121" s="1"/>
  <c r="B44" i="87"/>
  <c r="F820" i="121"/>
  <c r="B12" i="87"/>
  <c r="D45" i="82"/>
  <c r="D726" i="121"/>
  <c r="B29" i="87"/>
  <c r="K65" i="82"/>
  <c r="K758" i="121"/>
  <c r="B31" i="87"/>
  <c r="C790" i="121"/>
  <c r="B16" i="87"/>
  <c r="H45" i="82"/>
  <c r="H726" i="121"/>
  <c r="B35" i="87"/>
  <c r="G790" i="121"/>
  <c r="B34" i="87"/>
  <c r="F790" i="121"/>
  <c r="B43" i="87"/>
  <c r="E820" i="121"/>
  <c r="B11" i="87"/>
  <c r="C45" i="82"/>
  <c r="C726" i="121"/>
  <c r="B21" i="87"/>
  <c r="C65" i="82"/>
  <c r="C758" i="121"/>
  <c r="B19" i="87"/>
  <c r="K45" i="82"/>
  <c r="K726" i="121"/>
  <c r="B33" i="87"/>
  <c r="E790" i="121"/>
  <c r="B27" i="87"/>
  <c r="I65" i="82"/>
  <c r="I758" i="121"/>
  <c r="J65" i="82"/>
  <c r="B28" i="87"/>
  <c r="J758" i="121"/>
  <c r="B30" i="87"/>
  <c r="B790" i="121"/>
  <c r="B37" i="87"/>
  <c r="I790" i="121"/>
  <c r="B25" i="87"/>
  <c r="G65" i="82"/>
  <c r="G758" i="121"/>
  <c r="B24" i="87"/>
  <c r="F65" i="82"/>
  <c r="F758" i="121"/>
  <c r="B23" i="87"/>
  <c r="E65" i="82"/>
  <c r="E758" i="121"/>
  <c r="B42" i="87"/>
  <c r="D820" i="121"/>
  <c r="J45" i="82"/>
  <c r="B18" i="87"/>
  <c r="J726" i="121"/>
  <c r="B20" i="87"/>
  <c r="B65" i="82"/>
  <c r="B758" i="121"/>
  <c r="B15" i="87"/>
  <c r="G45" i="82"/>
  <c r="G726" i="121"/>
  <c r="D65" i="82"/>
  <c r="B22" i="87"/>
  <c r="D758" i="121"/>
  <c r="B32" i="87"/>
  <c r="D790" i="121"/>
  <c r="B10" i="87"/>
  <c r="B726" i="121"/>
  <c r="B40" i="87"/>
  <c r="B820" i="121"/>
  <c r="B41" i="87"/>
  <c r="C820" i="121"/>
  <c r="B38" i="87"/>
  <c r="J790" i="121"/>
  <c r="H65" i="82"/>
  <c r="B26" i="87"/>
  <c r="H758" i="121"/>
  <c r="B36" i="87"/>
  <c r="H790" i="121"/>
  <c r="B14" i="87"/>
  <c r="F45" i="82"/>
  <c r="F726" i="121"/>
  <c r="B13" i="87"/>
  <c r="E45" i="82"/>
  <c r="E726" i="121"/>
  <c r="B39" i="87"/>
  <c r="K790" i="121"/>
  <c r="B17" i="87"/>
  <c r="I45" i="82"/>
  <c r="I726" i="121"/>
  <c r="AZ442" i="112"/>
  <c r="P1480" i="121"/>
  <c r="A123" i="110"/>
  <c r="O1488" i="121"/>
  <c r="R1488" i="121" s="1"/>
  <c r="A56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D44" i="111" l="1"/>
  <c r="D40" i="111"/>
  <c r="E40" i="111" s="1"/>
  <c r="J381" i="112"/>
  <c r="P121" i="110"/>
  <c r="AD108" i="107"/>
  <c r="G43" i="107"/>
  <c r="C49" i="107"/>
  <c r="H18" i="100" s="1"/>
  <c r="J148" i="121"/>
  <c r="J149" i="121"/>
  <c r="G149" i="121"/>
  <c r="G151" i="121" s="1"/>
  <c r="F39" i="107"/>
  <c r="F37" i="107" s="1"/>
  <c r="AI456" i="112"/>
  <c r="O1363" i="121"/>
  <c r="J303" i="112"/>
  <c r="AW435" i="112"/>
  <c r="O207" i="112"/>
  <c r="AV426" i="112"/>
  <c r="AX426" i="112"/>
  <c r="AY424" i="112"/>
  <c r="AV424" i="112"/>
  <c r="AX424" i="112"/>
  <c r="AW424" i="112"/>
  <c r="AY430" i="112"/>
  <c r="AX430" i="112"/>
  <c r="AV430" i="112"/>
  <c r="O1298" i="121"/>
  <c r="AW430" i="112"/>
  <c r="AY426" i="112"/>
  <c r="AW426" i="112"/>
  <c r="K375" i="112"/>
  <c r="J380" i="112"/>
  <c r="J1529" i="121" s="1"/>
  <c r="J1530" i="121"/>
  <c r="P303" i="112"/>
  <c r="P1459" i="121"/>
  <c r="D53" i="82"/>
  <c r="D731" i="121"/>
  <c r="Q165" i="110"/>
  <c r="Q603" i="121" s="1"/>
  <c r="Q169" i="110"/>
  <c r="Q607" i="121" s="1"/>
  <c r="P152" i="110"/>
  <c r="Q166" i="110"/>
  <c r="Q604" i="121" s="1"/>
  <c r="Q171" i="110"/>
  <c r="Q609" i="121" s="1"/>
  <c r="F57" i="89"/>
  <c r="P118" i="110"/>
  <c r="B15" i="111"/>
  <c r="D15" i="111" s="1"/>
  <c r="H183" i="110"/>
  <c r="H621" i="121" s="1"/>
  <c r="P621" i="121" s="1"/>
  <c r="E734" i="121"/>
  <c r="E738" i="121"/>
  <c r="I734" i="121"/>
  <c r="I738" i="121"/>
  <c r="I797" i="121"/>
  <c r="I801" i="121"/>
  <c r="H766" i="121"/>
  <c r="H770" i="121"/>
  <c r="C827" i="121"/>
  <c r="C831" i="121"/>
  <c r="F766" i="121"/>
  <c r="F770" i="121"/>
  <c r="I766" i="121"/>
  <c r="I770" i="121"/>
  <c r="D734" i="121"/>
  <c r="D738" i="121"/>
  <c r="D766" i="121"/>
  <c r="D770" i="121"/>
  <c r="B766" i="121"/>
  <c r="B770" i="121"/>
  <c r="D827" i="121"/>
  <c r="D831" i="121"/>
  <c r="B801" i="121"/>
  <c r="B797" i="121"/>
  <c r="K738" i="121"/>
  <c r="K734" i="121"/>
  <c r="C734" i="121"/>
  <c r="C738" i="121"/>
  <c r="G797" i="121"/>
  <c r="G801" i="121"/>
  <c r="F734" i="121"/>
  <c r="F738" i="121"/>
  <c r="B827" i="121"/>
  <c r="B831" i="121"/>
  <c r="C797" i="121"/>
  <c r="C801" i="121"/>
  <c r="H797" i="121"/>
  <c r="H801" i="121"/>
  <c r="J797" i="121"/>
  <c r="J801" i="121"/>
  <c r="G766" i="121"/>
  <c r="G770" i="121"/>
  <c r="K797" i="121"/>
  <c r="K801" i="121"/>
  <c r="G738" i="121"/>
  <c r="G734" i="121"/>
  <c r="J734" i="121"/>
  <c r="J738" i="121"/>
  <c r="E770" i="121"/>
  <c r="E766" i="121"/>
  <c r="E801" i="121"/>
  <c r="E797" i="121"/>
  <c r="C766" i="121"/>
  <c r="C770" i="121"/>
  <c r="E827" i="121"/>
  <c r="E831" i="121"/>
  <c r="H734" i="121"/>
  <c r="H738" i="121"/>
  <c r="F827" i="121"/>
  <c r="F831" i="121"/>
  <c r="D797" i="121"/>
  <c r="D801" i="121"/>
  <c r="J766" i="121"/>
  <c r="J770" i="121"/>
  <c r="K770" i="121"/>
  <c r="K766" i="121"/>
  <c r="F797" i="121"/>
  <c r="F801" i="121"/>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175" i="110" s="1"/>
  <c r="N613" i="121" s="1"/>
  <c r="H32" i="95"/>
  <c r="AD109" i="107"/>
  <c r="AF109" i="107" s="1"/>
  <c r="M65" i="110"/>
  <c r="M67" i="110" s="1"/>
  <c r="M79" i="110" s="1"/>
  <c r="G32" i="95"/>
  <c r="Q162" i="110"/>
  <c r="Q600" i="121" s="1"/>
  <c r="BA438" i="112"/>
  <c r="BA449" i="112" s="1"/>
  <c r="AZ438" i="112"/>
  <c r="P286" i="112"/>
  <c r="BB449" i="112"/>
  <c r="AV438" i="112"/>
  <c r="O286" i="112"/>
  <c r="I286" i="112"/>
  <c r="AW438" i="112"/>
  <c r="AW449" i="112" s="1"/>
  <c r="E274" i="112"/>
  <c r="BC449" i="112"/>
  <c r="AY446" i="112"/>
  <c r="AX446" i="112"/>
  <c r="I368" i="112"/>
  <c r="H14" i="111"/>
  <c r="Q167" i="110"/>
  <c r="Q605" i="121" s="1"/>
  <c r="P157" i="110"/>
  <c r="K65" i="110"/>
  <c r="P63" i="110"/>
  <c r="Q164" i="110"/>
  <c r="Q602" i="121" s="1"/>
  <c r="K170" i="110"/>
  <c r="P168" i="110"/>
  <c r="Q163" i="110"/>
  <c r="Q601" i="121" s="1"/>
  <c r="P125" i="110"/>
  <c r="N88" i="110"/>
  <c r="N85" i="110"/>
  <c r="P131" i="110"/>
  <c r="P155" i="110"/>
  <c r="P111" i="110"/>
  <c r="P158" i="110"/>
  <c r="AX449" i="112" l="1"/>
  <c r="D744" i="121"/>
  <c r="E44" i="111"/>
  <c r="D740" i="121"/>
  <c r="E10" i="86"/>
  <c r="N79" i="110"/>
  <c r="N73" i="110"/>
  <c r="L73" i="110"/>
  <c r="O85" i="110"/>
  <c r="L175" i="110"/>
  <c r="L613" i="121" s="1"/>
  <c r="B716" i="121"/>
  <c r="B717" i="121" s="1"/>
  <c r="B720" i="121" s="1"/>
  <c r="B725" i="121" s="1"/>
  <c r="C52" i="100"/>
  <c r="E740" i="121"/>
  <c r="F40" i="111"/>
  <c r="G10" i="86" s="1"/>
  <c r="F10" i="86"/>
  <c r="C159" i="121"/>
  <c r="G153" i="121"/>
  <c r="J41" i="107"/>
  <c r="J151" i="121"/>
  <c r="G147" i="121"/>
  <c r="J310" i="112"/>
  <c r="O1364" i="121"/>
  <c r="J1459" i="121" s="1"/>
  <c r="O310" i="112"/>
  <c r="AY449" i="112"/>
  <c r="P1452" i="121"/>
  <c r="AJ459" i="112"/>
  <c r="AZ440" i="112"/>
  <c r="E53" i="82"/>
  <c r="E731" i="121"/>
  <c r="N76" i="110"/>
  <c r="L82" i="110"/>
  <c r="H7" i="100"/>
  <c r="P183" i="110"/>
  <c r="M175" i="110"/>
  <c r="M613" i="121" s="1"/>
  <c r="M88" i="110"/>
  <c r="M76" i="110"/>
  <c r="F15" i="111"/>
  <c r="E15" i="111"/>
  <c r="C15" i="111"/>
  <c r="G15" i="111"/>
  <c r="B16" i="111"/>
  <c r="E16" i="111" s="1"/>
  <c r="AV439" i="112"/>
  <c r="O1435" i="121"/>
  <c r="AZ439" i="112"/>
  <c r="P1435" i="12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B733" i="121" l="1"/>
  <c r="E744" i="121"/>
  <c r="F44" i="111"/>
  <c r="B722" i="121"/>
  <c r="B739" i="121" s="1"/>
  <c r="B734" i="121"/>
  <c r="E17" i="111"/>
  <c r="E20" i="111" s="1"/>
  <c r="C53" i="100"/>
  <c r="B17" i="111"/>
  <c r="B22" i="111" s="1"/>
  <c r="D16" i="111"/>
  <c r="H16" i="111"/>
  <c r="H17" i="111" s="1"/>
  <c r="H20" i="111" s="1"/>
  <c r="G16" i="111"/>
  <c r="F16" i="111"/>
  <c r="F17" i="111" s="1"/>
  <c r="F20" i="111" s="1"/>
  <c r="C16" i="111"/>
  <c r="C17" i="111" s="1"/>
  <c r="C20" i="111" s="1"/>
  <c r="F740" i="121"/>
  <c r="G40" i="111"/>
  <c r="O1459" i="121"/>
  <c r="L1459" i="121" s="1"/>
  <c r="L310" i="112"/>
  <c r="P6" i="112"/>
  <c r="P1556" i="121"/>
  <c r="P1163" i="121" s="1"/>
  <c r="AV449" i="112"/>
  <c r="O407" i="112" s="1"/>
  <c r="F53" i="82"/>
  <c r="F731" i="121"/>
  <c r="J277" i="121"/>
  <c r="M167" i="107"/>
  <c r="M168" i="107" s="1"/>
  <c r="M170" i="107" s="1"/>
  <c r="P277" i="121"/>
  <c r="P278" i="121" s="1"/>
  <c r="P280" i="121" s="1"/>
  <c r="M277" i="121"/>
  <c r="M278" i="121" s="1"/>
  <c r="M280" i="121" s="1"/>
  <c r="F159" i="121"/>
  <c r="F158" i="121"/>
  <c r="J159" i="121"/>
  <c r="E174" i="90"/>
  <c r="F49" i="107"/>
  <c r="K179" i="110"/>
  <c r="J49" i="107"/>
  <c r="C54" i="100"/>
  <c r="J4" i="91"/>
  <c r="AF113" i="107"/>
  <c r="AF115" i="107" s="1"/>
  <c r="E109" i="107" s="1"/>
  <c r="I109" i="107" s="1"/>
  <c r="AD115" i="107"/>
  <c r="P167" i="107"/>
  <c r="P168" i="107" s="1"/>
  <c r="P170" i="107" s="1"/>
  <c r="F48" i="107"/>
  <c r="K147" i="112"/>
  <c r="K1304" i="121" s="1"/>
  <c r="J167" i="107"/>
  <c r="B23" i="111"/>
  <c r="C13" i="86" s="1"/>
  <c r="J14" i="111"/>
  <c r="I15" i="111"/>
  <c r="I16" i="111"/>
  <c r="Q239" i="110"/>
  <c r="N239" i="110"/>
  <c r="P67" i="110"/>
  <c r="K175" i="110"/>
  <c r="K613" i="121" s="1"/>
  <c r="K85" i="110"/>
  <c r="K73" i="110"/>
  <c r="K82" i="110"/>
  <c r="K70" i="110"/>
  <c r="K76" i="110"/>
  <c r="K79" i="110"/>
  <c r="K88" i="110"/>
  <c r="F744" i="121" l="1"/>
  <c r="G44" i="111"/>
  <c r="B20" i="111"/>
  <c r="L4" i="95"/>
  <c r="E22" i="111"/>
  <c r="K6" i="111"/>
  <c r="C22" i="111"/>
  <c r="F22" i="111"/>
  <c r="Q662" i="121"/>
  <c r="Q224" i="110"/>
  <c r="Q232" i="110" s="1"/>
  <c r="K8" i="111"/>
  <c r="D17" i="111"/>
  <c r="D20" i="111" s="1"/>
  <c r="G17" i="111"/>
  <c r="G20" i="111" s="1"/>
  <c r="H22" i="111"/>
  <c r="G740" i="121"/>
  <c r="H40" i="111"/>
  <c r="H10" i="86"/>
  <c r="O6" i="112"/>
  <c r="O1556" i="121"/>
  <c r="O1163" i="121" s="1"/>
  <c r="G53" i="82"/>
  <c r="G731" i="121"/>
  <c r="P158" i="121"/>
  <c r="J105" i="112"/>
  <c r="J1262" i="121" s="1"/>
  <c r="E165" i="121"/>
  <c r="F243" i="121"/>
  <c r="H1481" i="121"/>
  <c r="L1027" i="121"/>
  <c r="L1028" i="121" s="1"/>
  <c r="L1029" i="121"/>
  <c r="E197" i="121"/>
  <c r="J158" i="121"/>
  <c r="K13" i="100"/>
  <c r="P48" i="107"/>
  <c r="H332" i="112"/>
  <c r="J73" i="112"/>
  <c r="J1230" i="121" s="1"/>
  <c r="M1231" i="121" s="1"/>
  <c r="L184" i="113"/>
  <c r="L185" i="113" s="1"/>
  <c r="AE125" i="107"/>
  <c r="AE123" i="107"/>
  <c r="E87" i="107"/>
  <c r="L186" i="113"/>
  <c r="F133" i="107"/>
  <c r="AD106" i="107"/>
  <c r="J48" i="107"/>
  <c r="C13" i="100"/>
  <c r="E55" i="107"/>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P233" i="110" l="1"/>
  <c r="G744" i="121"/>
  <c r="H44" i="111"/>
  <c r="O225" i="110"/>
  <c r="O226" i="110"/>
  <c r="D22" i="111"/>
  <c r="G22" i="111"/>
  <c r="B21" i="111"/>
  <c r="F130" i="107"/>
  <c r="F240" i="121"/>
  <c r="B721" i="121"/>
  <c r="Q251" i="110"/>
  <c r="I22" i="111"/>
  <c r="Q670" i="121"/>
  <c r="N670" i="121" s="1"/>
  <c r="O664" i="121"/>
  <c r="O663" i="121"/>
  <c r="H740" i="121"/>
  <c r="I40" i="111"/>
  <c r="I10" i="86"/>
  <c r="H53" i="82"/>
  <c r="H731" i="121"/>
  <c r="AF125" i="107"/>
  <c r="AH125" i="107" s="1"/>
  <c r="G13" i="86"/>
  <c r="AF122" i="107"/>
  <c r="AH122" i="107" s="1"/>
  <c r="E127" i="107" s="1"/>
  <c r="A127" i="107" s="1"/>
  <c r="E13" i="86"/>
  <c r="D13" i="86"/>
  <c r="I13" i="86"/>
  <c r="H13" i="86"/>
  <c r="F13" i="86"/>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H744" i="121" l="1"/>
  <c r="I44" i="111"/>
  <c r="J1231" i="121"/>
  <c r="J76" i="112"/>
  <c r="J1233" i="121" s="1"/>
  <c r="G241" i="121"/>
  <c r="J241" i="121" s="1"/>
  <c r="J131" i="107"/>
  <c r="S241" i="121"/>
  <c r="F74" i="89"/>
  <c r="F78" i="89"/>
  <c r="G240" i="121"/>
  <c r="J130" i="107"/>
  <c r="G135" i="107"/>
  <c r="Q689" i="121"/>
  <c r="P671" i="121"/>
  <c r="B39" i="111"/>
  <c r="C21" i="111"/>
  <c r="E21" i="111"/>
  <c r="G21" i="111"/>
  <c r="F21" i="111"/>
  <c r="D21" i="111"/>
  <c r="H21" i="111"/>
  <c r="I21" i="111"/>
  <c r="B25" i="111"/>
  <c r="J21" i="111"/>
  <c r="J22" i="111"/>
  <c r="I740" i="121"/>
  <c r="J40" i="111"/>
  <c r="C30" i="86"/>
  <c r="G165" i="121"/>
  <c r="B58" i="107"/>
  <c r="F55" i="107"/>
  <c r="G54" i="107"/>
  <c r="I53" i="82"/>
  <c r="I731" i="121"/>
  <c r="C46" i="111"/>
  <c r="B55" i="111"/>
  <c r="F33" i="86" s="1"/>
  <c r="B53" i="111"/>
  <c r="B47" i="111"/>
  <c r="B48" i="111"/>
  <c r="K17" i="111"/>
  <c r="K20" i="111" s="1"/>
  <c r="I744" i="121" l="1"/>
  <c r="J44" i="111"/>
  <c r="J39" i="111"/>
  <c r="J25" i="111"/>
  <c r="J33" i="111" s="1"/>
  <c r="C39" i="111"/>
  <c r="C25" i="111"/>
  <c r="C35" i="111" s="1"/>
  <c r="S240" i="121"/>
  <c r="S245" i="121" s="1"/>
  <c r="S135" i="107"/>
  <c r="I39" i="111"/>
  <c r="I25" i="111"/>
  <c r="I35" i="111" s="1"/>
  <c r="B34" i="111"/>
  <c r="B44" i="82"/>
  <c r="H39" i="111"/>
  <c r="H25" i="111"/>
  <c r="H35" i="111" s="1"/>
  <c r="D39" i="111"/>
  <c r="D25" i="111"/>
  <c r="D35" i="111" s="1"/>
  <c r="F39" i="111"/>
  <c r="F25" i="111"/>
  <c r="F35" i="111" s="1"/>
  <c r="G39" i="111"/>
  <c r="G25" i="111"/>
  <c r="G35" i="111" s="1"/>
  <c r="K22" i="111"/>
  <c r="K39" i="111" s="1"/>
  <c r="E39" i="111"/>
  <c r="E25" i="111"/>
  <c r="E35" i="111" s="1"/>
  <c r="J240" i="121"/>
  <c r="G245" i="121"/>
  <c r="J740" i="121"/>
  <c r="K40" i="111"/>
  <c r="E30" i="86" s="1"/>
  <c r="D30" i="86"/>
  <c r="J58" i="107"/>
  <c r="F58" i="107"/>
  <c r="F57" i="107"/>
  <c r="P57" i="107"/>
  <c r="J57" i="107"/>
  <c r="B168" i="121"/>
  <c r="F165" i="121"/>
  <c r="G164" i="121"/>
  <c r="J165" i="121"/>
  <c r="J256" i="121" s="1"/>
  <c r="J272" i="121" s="1"/>
  <c r="J274" i="121" s="1"/>
  <c r="J276" i="121" s="1"/>
  <c r="J278" i="121" s="1"/>
  <c r="J280" i="121" s="1"/>
  <c r="J281" i="121" s="1"/>
  <c r="J146" i="107"/>
  <c r="J162" i="107" s="1"/>
  <c r="J53" i="82"/>
  <c r="J731" i="121"/>
  <c r="B49" i="111"/>
  <c r="B52" i="111" s="1"/>
  <c r="D46" i="111"/>
  <c r="C47" i="111"/>
  <c r="C53" i="111"/>
  <c r="C55" i="111"/>
  <c r="G33" i="86" s="1"/>
  <c r="C48" i="111"/>
  <c r="J34" i="111" l="1"/>
  <c r="J35" i="111"/>
  <c r="J744" i="121"/>
  <c r="K44" i="111"/>
  <c r="J38" i="111"/>
  <c r="J44" i="82"/>
  <c r="D33" i="111"/>
  <c r="E9" i="86" s="1"/>
  <c r="D38" i="111"/>
  <c r="D34" i="111"/>
  <c r="D44" i="82"/>
  <c r="G44" i="82"/>
  <c r="G38" i="111"/>
  <c r="G34" i="111"/>
  <c r="G33" i="111"/>
  <c r="H9" i="86" s="1"/>
  <c r="I34" i="111"/>
  <c r="I38" i="111"/>
  <c r="I33" i="111"/>
  <c r="C29" i="86" s="1"/>
  <c r="I44" i="82"/>
  <c r="B54" i="111"/>
  <c r="B71" i="111" s="1"/>
  <c r="H33" i="111"/>
  <c r="I9" i="86" s="1"/>
  <c r="H34" i="111"/>
  <c r="H38" i="111"/>
  <c r="H44" i="82"/>
  <c r="E33" i="111"/>
  <c r="F9" i="86" s="1"/>
  <c r="E38" i="111"/>
  <c r="E34" i="111"/>
  <c r="E44" i="82"/>
  <c r="F33" i="111"/>
  <c r="G9" i="86" s="1"/>
  <c r="F38" i="111"/>
  <c r="F34" i="111"/>
  <c r="F44" i="82"/>
  <c r="C33" i="111"/>
  <c r="C34" i="111"/>
  <c r="C38" i="111"/>
  <c r="C44" i="82"/>
  <c r="K25" i="111"/>
  <c r="D29" i="86"/>
  <c r="K740" i="121"/>
  <c r="B72" i="111"/>
  <c r="F167" i="121"/>
  <c r="J168" i="121"/>
  <c r="F168" i="121"/>
  <c r="P167" i="121"/>
  <c r="J167" i="121"/>
  <c r="E3" i="86"/>
  <c r="J164" i="107"/>
  <c r="J166" i="107" s="1"/>
  <c r="J168" i="107" s="1"/>
  <c r="K53" i="82"/>
  <c r="K731" i="121"/>
  <c r="C49" i="111"/>
  <c r="C52" i="111" s="1"/>
  <c r="E46" i="111"/>
  <c r="D47" i="111"/>
  <c r="D53" i="111"/>
  <c r="D55" i="111"/>
  <c r="H33" i="86" s="1"/>
  <c r="D48" i="111"/>
  <c r="K33" i="111" l="1"/>
  <c r="E29" i="86" s="1"/>
  <c r="K35" i="111"/>
  <c r="K744" i="121"/>
  <c r="B76" i="111"/>
  <c r="K38" i="111"/>
  <c r="K34" i="111"/>
  <c r="K44" i="82"/>
  <c r="C54" i="111"/>
  <c r="C71" i="111" s="1"/>
  <c r="D9" i="86"/>
  <c r="B57" i="111"/>
  <c r="B67" i="111" s="1"/>
  <c r="B772" i="121"/>
  <c r="C72" i="111"/>
  <c r="F30" i="86"/>
  <c r="J170" i="107"/>
  <c r="J171" i="107" s="1"/>
  <c r="G15" i="82"/>
  <c r="B73" i="82"/>
  <c r="B763" i="121"/>
  <c r="D49" i="111"/>
  <c r="D52" i="111" s="1"/>
  <c r="F46" i="111"/>
  <c r="E47" i="111"/>
  <c r="E55" i="111"/>
  <c r="I33" i="86" s="1"/>
  <c r="E53" i="111"/>
  <c r="E48" i="111"/>
  <c r="B776" i="121" l="1"/>
  <c r="C76" i="111"/>
  <c r="C57" i="111"/>
  <c r="C67" i="111" s="1"/>
  <c r="D54" i="111"/>
  <c r="D71" i="111" s="1"/>
  <c r="B70" i="111"/>
  <c r="B66" i="111"/>
  <c r="B65" i="111"/>
  <c r="B64" i="82"/>
  <c r="C772" i="121"/>
  <c r="D72" i="111"/>
  <c r="H30" i="86" s="1"/>
  <c r="G30" i="86"/>
  <c r="C73" i="82"/>
  <c r="C763" i="121"/>
  <c r="G46" i="111"/>
  <c r="F55" i="111"/>
  <c r="C53" i="86" s="1"/>
  <c r="F47" i="111"/>
  <c r="F53" i="111"/>
  <c r="F48" i="111"/>
  <c r="E49" i="111"/>
  <c r="E52" i="111" s="1"/>
  <c r="V176" i="72"/>
  <c r="V177" i="72"/>
  <c r="C776" i="121" l="1"/>
  <c r="D76" i="111"/>
  <c r="F29" i="86"/>
  <c r="C66" i="111"/>
  <c r="C70" i="111"/>
  <c r="C65" i="111"/>
  <c r="C64" i="82"/>
  <c r="E54" i="111"/>
  <c r="E71" i="111" s="1"/>
  <c r="D57" i="111"/>
  <c r="D772" i="121"/>
  <c r="E72" i="111"/>
  <c r="D73" i="82"/>
  <c r="D763" i="121"/>
  <c r="H46" i="111"/>
  <c r="G47" i="111"/>
  <c r="G53" i="111"/>
  <c r="G55" i="111"/>
  <c r="D53" i="86" s="1"/>
  <c r="G48" i="111"/>
  <c r="F49" i="111"/>
  <c r="F52" i="111" s="1"/>
  <c r="D65" i="111" l="1"/>
  <c r="H29" i="86" s="1"/>
  <c r="D67" i="111"/>
  <c r="D776" i="121"/>
  <c r="E76" i="111"/>
  <c r="G29" i="86"/>
  <c r="F54" i="111"/>
  <c r="F71" i="111" s="1"/>
  <c r="D66" i="111"/>
  <c r="D70" i="111"/>
  <c r="D64" i="82"/>
  <c r="E57" i="111"/>
  <c r="E67" i="111" s="1"/>
  <c r="E772" i="121"/>
  <c r="F72" i="111"/>
  <c r="I30" i="86"/>
  <c r="E73" i="82"/>
  <c r="E763" i="121"/>
  <c r="I46" i="111"/>
  <c r="H55" i="111"/>
  <c r="E53" i="86" s="1"/>
  <c r="H47" i="111"/>
  <c r="H53" i="111"/>
  <c r="H48" i="111"/>
  <c r="G49" i="111"/>
  <c r="G52" i="111" s="1"/>
  <c r="E776" i="121" l="1"/>
  <c r="F76" i="111"/>
  <c r="G54" i="111"/>
  <c r="G71" i="111" s="1"/>
  <c r="E70" i="111"/>
  <c r="E66" i="111"/>
  <c r="E65" i="111"/>
  <c r="E64" i="82"/>
  <c r="F57" i="111"/>
  <c r="F67" i="111" s="1"/>
  <c r="F772" i="121"/>
  <c r="G72" i="111"/>
  <c r="C50" i="86"/>
  <c r="F73" i="82"/>
  <c r="F763" i="121"/>
  <c r="J46" i="111"/>
  <c r="I47" i="111"/>
  <c r="I53" i="111"/>
  <c r="I55" i="111"/>
  <c r="F53" i="86" s="1"/>
  <c r="I48" i="111"/>
  <c r="H49" i="111"/>
  <c r="H52" i="111" s="1"/>
  <c r="F776" i="121" l="1"/>
  <c r="G76" i="111"/>
  <c r="G776" i="121" s="1"/>
  <c r="G57" i="111"/>
  <c r="F70" i="111"/>
  <c r="F66" i="111"/>
  <c r="F65" i="111"/>
  <c r="F64" i="82"/>
  <c r="I29" i="86"/>
  <c r="H54" i="111"/>
  <c r="H71" i="111" s="1"/>
  <c r="G772" i="121"/>
  <c r="H72" i="111"/>
  <c r="D50" i="86"/>
  <c r="G73" i="82"/>
  <c r="G763" i="121"/>
  <c r="K46" i="111"/>
  <c r="J55" i="111"/>
  <c r="G53" i="86" s="1"/>
  <c r="J53" i="111"/>
  <c r="J47" i="111"/>
  <c r="J48" i="111"/>
  <c r="I49" i="111"/>
  <c r="I52" i="111" s="1"/>
  <c r="G64" i="82" l="1"/>
  <c r="G67" i="111"/>
  <c r="G65" i="111"/>
  <c r="G70" i="111"/>
  <c r="G66" i="111"/>
  <c r="I54" i="111"/>
  <c r="I71" i="111" s="1"/>
  <c r="H57" i="111"/>
  <c r="C49" i="86"/>
  <c r="H772" i="121"/>
  <c r="I72" i="111"/>
  <c r="E50" i="86"/>
  <c r="H73" i="82"/>
  <c r="H763" i="121"/>
  <c r="J49" i="111"/>
  <c r="J52" i="111" s="1"/>
  <c r="B78" i="111"/>
  <c r="K53" i="111"/>
  <c r="K55" i="111"/>
  <c r="H53" i="86" s="1"/>
  <c r="K47" i="111"/>
  <c r="K48" i="111"/>
  <c r="I133" i="73"/>
  <c r="G59" i="93"/>
  <c r="G61" i="93"/>
  <c r="O138" i="72"/>
  <c r="H65" i="111" l="1"/>
  <c r="H67" i="111"/>
  <c r="I57" i="111"/>
  <c r="J54" i="111"/>
  <c r="J71" i="111" s="1"/>
  <c r="H66" i="111"/>
  <c r="H70" i="111"/>
  <c r="H64" i="82"/>
  <c r="I772" i="121"/>
  <c r="J72" i="111"/>
  <c r="F50" i="86"/>
  <c r="I73" i="82"/>
  <c r="I763" i="121"/>
  <c r="K49" i="111"/>
  <c r="K52" i="111" s="1"/>
  <c r="C78" i="111"/>
  <c r="B85" i="111"/>
  <c r="B87" i="111"/>
  <c r="B79" i="111"/>
  <c r="B80" i="111"/>
  <c r="G62" i="93"/>
  <c r="G63" i="93"/>
  <c r="G58" i="93"/>
  <c r="G60" i="93"/>
  <c r="P47" i="72"/>
  <c r="P46" i="72"/>
  <c r="P45" i="72"/>
  <c r="I64" i="82" l="1"/>
  <c r="I67" i="111"/>
  <c r="I65" i="111"/>
  <c r="I66" i="111"/>
  <c r="I70" i="111"/>
  <c r="K54" i="111"/>
  <c r="K71" i="111" s="1"/>
  <c r="J57" i="111"/>
  <c r="J67" i="111" s="1"/>
  <c r="J772" i="121"/>
  <c r="K72" i="111"/>
  <c r="G50" i="86"/>
  <c r="J73" i="82"/>
  <c r="J763" i="121"/>
  <c r="B81" i="111"/>
  <c r="B84" i="111" s="1"/>
  <c r="D78" i="111"/>
  <c r="C79" i="111"/>
  <c r="C87" i="111"/>
  <c r="C85" i="111"/>
  <c r="C80" i="111"/>
  <c r="AB57" i="72"/>
  <c r="AB58" i="72"/>
  <c r="AB59" i="72"/>
  <c r="AB60" i="72"/>
  <c r="AB61" i="72"/>
  <c r="Z56" i="72"/>
  <c r="AI35" i="72"/>
  <c r="AH35" i="72"/>
  <c r="AG35" i="72"/>
  <c r="AF35" i="72"/>
  <c r="AE35" i="72"/>
  <c r="AD35" i="72"/>
  <c r="K57" i="111" l="1"/>
  <c r="J70" i="111"/>
  <c r="J66" i="111"/>
  <c r="J64" i="82"/>
  <c r="J65" i="111"/>
  <c r="B86" i="111"/>
  <c r="B102" i="111" s="1"/>
  <c r="K772" i="121"/>
  <c r="L70" i="85"/>
  <c r="L100" i="85"/>
  <c r="B103" i="111"/>
  <c r="H50" i="86"/>
  <c r="K73" i="82"/>
  <c r="K763" i="121"/>
  <c r="E78" i="111"/>
  <c r="D79" i="111"/>
  <c r="D85" i="111"/>
  <c r="D87" i="111"/>
  <c r="D80" i="111"/>
  <c r="C81" i="111"/>
  <c r="C84" i="111" s="1"/>
  <c r="R344" i="72"/>
  <c r="D4" i="93"/>
  <c r="K65" i="111" l="1"/>
  <c r="K67" i="111"/>
  <c r="B89" i="111"/>
  <c r="B98" i="111" s="1"/>
  <c r="C86" i="111"/>
  <c r="C102" i="111" s="1"/>
  <c r="K66" i="111"/>
  <c r="K70" i="111"/>
  <c r="K64" i="82"/>
  <c r="B803" i="121"/>
  <c r="C103" i="111"/>
  <c r="B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C98" i="111" s="1"/>
  <c r="B101" i="111"/>
  <c r="B97" i="111"/>
  <c r="B96" i="111"/>
  <c r="B796" i="121" s="1"/>
  <c r="D86" i="111"/>
  <c r="D102" i="111" s="1"/>
  <c r="C803" i="121"/>
  <c r="D103" i="111"/>
  <c r="C795" i="121"/>
  <c r="E81" i="111"/>
  <c r="E84" i="111" s="1"/>
  <c r="G78" i="111"/>
  <c r="F85" i="111"/>
  <c r="F87" i="111"/>
  <c r="F79" i="111"/>
  <c r="F80" i="111"/>
  <c r="E16" i="100"/>
  <c r="F19" i="85" s="1"/>
  <c r="C16" i="100"/>
  <c r="C14" i="100"/>
  <c r="I68" i="100"/>
  <c r="G68" i="100"/>
  <c r="E68" i="100"/>
  <c r="K68" i="100"/>
  <c r="I66" i="100"/>
  <c r="G66" i="100"/>
  <c r="E66" i="100"/>
  <c r="I61" i="100"/>
  <c r="G61" i="100"/>
  <c r="E61" i="100"/>
  <c r="K61" i="100"/>
  <c r="I60" i="100"/>
  <c r="G60" i="100"/>
  <c r="E60" i="100"/>
  <c r="I59" i="100"/>
  <c r="G59" i="100"/>
  <c r="I58" i="100"/>
  <c r="C34" i="100"/>
  <c r="C29" i="100"/>
  <c r="K33" i="100" s="1"/>
  <c r="D89" i="111" l="1"/>
  <c r="D98" i="111" s="1"/>
  <c r="C97" i="111"/>
  <c r="C101" i="111"/>
  <c r="C96" i="111"/>
  <c r="C796" i="121" s="1"/>
  <c r="E86" i="111"/>
  <c r="E102" i="111" s="1"/>
  <c r="D803" i="121"/>
  <c r="E103"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F86" i="111" l="1"/>
  <c r="F102" i="111" s="1"/>
  <c r="E89" i="111"/>
  <c r="E98" i="111" s="1"/>
  <c r="D101" i="111"/>
  <c r="D97" i="111"/>
  <c r="D96" i="111"/>
  <c r="D796" i="121" s="1"/>
  <c r="E803" i="121"/>
  <c r="F103" i="111"/>
  <c r="E795" i="121"/>
  <c r="G81" i="111"/>
  <c r="G84" i="111" s="1"/>
  <c r="I78" i="111"/>
  <c r="H79" i="111"/>
  <c r="H85" i="111"/>
  <c r="H87" i="111"/>
  <c r="H80" i="111"/>
  <c r="E62" i="100"/>
  <c r="K37" i="100"/>
  <c r="C40" i="100"/>
  <c r="K35" i="100"/>
  <c r="K62" i="100"/>
  <c r="G86" i="111" l="1"/>
  <c r="G102" i="111" s="1"/>
  <c r="E101" i="111"/>
  <c r="E97" i="111"/>
  <c r="E96" i="111"/>
  <c r="E796" i="121" s="1"/>
  <c r="F89" i="111"/>
  <c r="F98" i="111" s="1"/>
  <c r="F803" i="121"/>
  <c r="G103"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G98" i="111" s="1"/>
  <c r="F101" i="111"/>
  <c r="F97" i="111"/>
  <c r="F96" i="111"/>
  <c r="F796" i="121" s="1"/>
  <c r="H86" i="111"/>
  <c r="H102" i="111" s="1"/>
  <c r="G803" i="121"/>
  <c r="H103" i="111"/>
  <c r="G795" i="121"/>
  <c r="I81" i="111"/>
  <c r="I84" i="111" s="1"/>
  <c r="K78" i="111"/>
  <c r="J87" i="111"/>
  <c r="J85" i="111"/>
  <c r="J79" i="111"/>
  <c r="J80" i="111"/>
  <c r="G101" i="111" l="1"/>
  <c r="G97" i="111"/>
  <c r="G96" i="111"/>
  <c r="G796" i="121" s="1"/>
  <c r="I86" i="111"/>
  <c r="I102" i="111" s="1"/>
  <c r="H89" i="111"/>
  <c r="H98" i="111" s="1"/>
  <c r="H803" i="121"/>
  <c r="I103" i="111"/>
  <c r="H795" i="121"/>
  <c r="J81" i="111"/>
  <c r="J84" i="111" s="1"/>
  <c r="B108" i="111"/>
  <c r="K85" i="111"/>
  <c r="K87" i="111"/>
  <c r="K79" i="111"/>
  <c r="K80" i="111"/>
  <c r="F18" i="85"/>
  <c r="J86" i="111" l="1"/>
  <c r="J102" i="111" s="1"/>
  <c r="H101" i="111"/>
  <c r="H97" i="111"/>
  <c r="H96" i="111"/>
  <c r="H796" i="121" s="1"/>
  <c r="I89" i="111"/>
  <c r="I98" i="111" s="1"/>
  <c r="I803" i="121"/>
  <c r="J103" i="111"/>
  <c r="I795" i="121"/>
  <c r="C108" i="111"/>
  <c r="B109" i="111"/>
  <c r="B117" i="111"/>
  <c r="B115" i="111"/>
  <c r="B110" i="111"/>
  <c r="K81" i="111"/>
  <c r="K84" i="111" s="1"/>
  <c r="E242" i="72"/>
  <c r="J89" i="111" l="1"/>
  <c r="J101" i="111" s="1"/>
  <c r="I101" i="111"/>
  <c r="I97" i="111"/>
  <c r="K86" i="111"/>
  <c r="K102" i="111" s="1"/>
  <c r="I96" i="111"/>
  <c r="I796" i="121" s="1"/>
  <c r="J803" i="121"/>
  <c r="K103" i="111"/>
  <c r="J795" i="121"/>
  <c r="B111" i="111"/>
  <c r="B114" i="111" s="1"/>
  <c r="D108" i="111"/>
  <c r="C109" i="111"/>
  <c r="C117" i="111"/>
  <c r="C115" i="111"/>
  <c r="C110" i="111"/>
  <c r="Q295" i="72"/>
  <c r="Q298" i="72"/>
  <c r="Q94" i="72"/>
  <c r="Q312" i="72"/>
  <c r="Q311" i="72"/>
  <c r="J97" i="111" l="1"/>
  <c r="J98" i="111"/>
  <c r="J96" i="111"/>
  <c r="J796" i="121" s="1"/>
  <c r="K89" i="111"/>
  <c r="B116" i="111"/>
  <c r="B132" i="111" s="1"/>
  <c r="K803" i="121"/>
  <c r="B133" i="111"/>
  <c r="K795" i="121"/>
  <c r="E108" i="111"/>
  <c r="D115" i="111"/>
  <c r="D109" i="111"/>
  <c r="D117" i="111"/>
  <c r="D110" i="111"/>
  <c r="C111" i="111"/>
  <c r="C114" i="111" s="1"/>
  <c r="I91" i="72"/>
  <c r="K97" i="111" l="1"/>
  <c r="K98" i="111"/>
  <c r="K101" i="111"/>
  <c r="K96" i="111"/>
  <c r="K796" i="121" s="1"/>
  <c r="C116" i="111"/>
  <c r="C132" i="111" s="1"/>
  <c r="B119" i="111"/>
  <c r="B833" i="121"/>
  <c r="C133" i="111"/>
  <c r="B825" i="121"/>
  <c r="D111" i="111"/>
  <c r="D114" i="111" s="1"/>
  <c r="F108" i="111"/>
  <c r="E109" i="111"/>
  <c r="E115" i="111"/>
  <c r="E117" i="111"/>
  <c r="E110" i="111"/>
  <c r="L285" i="72"/>
  <c r="C119" i="111" l="1"/>
  <c r="C131" i="111" s="1"/>
  <c r="D116" i="111"/>
  <c r="D132" i="111" s="1"/>
  <c r="B131" i="111"/>
  <c r="B127" i="111"/>
  <c r="B126" i="111"/>
  <c r="C833" i="121"/>
  <c r="D133" i="111"/>
  <c r="C825" i="121"/>
  <c r="F109" i="111"/>
  <c r="F117" i="111"/>
  <c r="F115" i="111"/>
  <c r="F110" i="111"/>
  <c r="E111" i="111"/>
  <c r="E114" i="111" s="1"/>
  <c r="Q339" i="73"/>
  <c r="H152" i="72"/>
  <c r="C127" i="111" l="1"/>
  <c r="C126" i="111"/>
  <c r="E116" i="111"/>
  <c r="E132" i="111" s="1"/>
  <c r="D119" i="111"/>
  <c r="D126" i="111" s="1"/>
  <c r="D833" i="121"/>
  <c r="E133" i="111"/>
  <c r="D825" i="121"/>
  <c r="F111" i="111"/>
  <c r="F114" i="111" s="1"/>
  <c r="L184" i="72"/>
  <c r="D131" i="111" l="1"/>
  <c r="D127" i="111"/>
  <c r="E119" i="111"/>
  <c r="E131" i="111" s="1"/>
  <c r="F116" i="111"/>
  <c r="F132" i="111" s="1"/>
  <c r="E833" i="121"/>
  <c r="F133" i="111"/>
  <c r="F833" i="121" s="1"/>
  <c r="F825" i="121"/>
  <c r="E825" i="121"/>
  <c r="L242" i="72"/>
  <c r="P225" i="72"/>
  <c r="R225" i="72"/>
  <c r="Q18" i="72"/>
  <c r="E127" i="111" l="1"/>
  <c r="E126" i="111"/>
  <c r="F119" i="111"/>
  <c r="F126" i="111" s="1"/>
  <c r="F31" i="72"/>
  <c r="F30" i="72"/>
  <c r="E30" i="72"/>
  <c r="F29" i="72"/>
  <c r="E29" i="72"/>
  <c r="F28" i="72"/>
  <c r="F27" i="72"/>
  <c r="F26" i="72"/>
  <c r="N210" i="73"/>
  <c r="J274" i="72"/>
  <c r="K226" i="72"/>
  <c r="J113" i="72"/>
  <c r="M56" i="73"/>
  <c r="F24" i="72"/>
  <c r="F23" i="72"/>
  <c r="F22" i="72"/>
  <c r="P310" i="72"/>
  <c r="E24" i="72"/>
  <c r="F131" i="111" l="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G56" i="100"/>
  <c r="G64" i="100" s="1"/>
  <c r="G70" i="100" s="1"/>
  <c r="P89" i="72"/>
  <c r="O89" i="72"/>
  <c r="G51" i="82" l="1"/>
  <c r="B51" i="82"/>
  <c r="P91" i="72"/>
  <c r="O442" i="72"/>
  <c r="Y37" i="72"/>
  <c r="X37" i="72"/>
  <c r="AD37" i="72"/>
  <c r="AE37" i="72"/>
  <c r="C46" i="82" l="1"/>
  <c r="D46" i="82"/>
  <c r="E46" i="82"/>
  <c r="G46" i="82"/>
  <c r="C51" i="82" l="1"/>
  <c r="D51" i="82"/>
  <c r="E51" i="82"/>
  <c r="F46" i="82"/>
  <c r="F51" i="82"/>
  <c r="I51" i="82"/>
  <c r="H51" i="82"/>
  <c r="H46" i="82"/>
  <c r="I46" i="82" l="1"/>
  <c r="J46" i="82"/>
  <c r="J51" i="82" l="1"/>
  <c r="K51" i="82" l="1"/>
  <c r="K46" i="82"/>
  <c r="C66" i="82" l="1"/>
  <c r="B66" i="82"/>
  <c r="B71" i="82"/>
  <c r="C71" i="82" l="1"/>
  <c r="E71" i="82" l="1"/>
  <c r="D71" i="82"/>
  <c r="D66" i="82"/>
  <c r="E66" i="82" l="1"/>
  <c r="F66" i="82" l="1"/>
  <c r="F71" i="82"/>
  <c r="O8" i="86" l="1"/>
  <c r="O14" i="86" s="1"/>
  <c r="O33" i="86" s="1"/>
  <c r="H63" i="86" s="1"/>
  <c r="G66" i="82"/>
  <c r="G71" i="82"/>
  <c r="C86" i="90" l="1"/>
  <c r="F61" i="89"/>
  <c r="I66" i="82"/>
  <c r="H66" i="82"/>
  <c r="H71" i="82"/>
  <c r="I71" i="82" l="1"/>
  <c r="J66" i="82"/>
  <c r="J71" i="82" l="1"/>
  <c r="K71" i="82" l="1"/>
  <c r="K66" i="82"/>
  <c r="E15" i="72" l="1"/>
  <c r="E20" i="72" l="1"/>
  <c r="E21" i="72" l="1"/>
  <c r="E16" i="72" l="1"/>
  <c r="P233" i="72"/>
  <c r="P442" i="72" s="1"/>
  <c r="O6" i="72" l="1"/>
  <c r="L233" i="72"/>
  <c r="L191" i="72"/>
  <c r="AE45" i="72"/>
  <c r="AE63" i="72" s="1"/>
  <c r="AD45" i="72"/>
  <c r="AD63" i="72" s="1"/>
  <c r="Y45" i="72"/>
  <c r="Y63" i="72" s="1"/>
  <c r="X45" i="72"/>
  <c r="X63" i="72" s="1"/>
  <c r="P6" i="72"/>
  <c r="E19" i="72"/>
  <c r="E5" i="86" l="1"/>
  <c r="D16" i="86" s="1"/>
  <c r="F16" i="86"/>
  <c r="G16" i="86"/>
  <c r="H16" i="86"/>
  <c r="I16" i="86"/>
  <c r="C36" i="86"/>
  <c r="D36" i="86"/>
  <c r="E36" i="86"/>
  <c r="F36" i="86"/>
  <c r="G36" i="86"/>
  <c r="H36" i="86"/>
  <c r="I36" i="86"/>
  <c r="C56" i="86"/>
  <c r="G218" i="121"/>
  <c r="G224" i="121"/>
  <c r="G256" i="121"/>
  <c r="D258" i="121" s="1"/>
  <c r="S218" i="121"/>
  <c r="S224" i="121" s="1"/>
  <c r="S256" i="121" s="1"/>
  <c r="G114" i="107"/>
  <c r="S114" i="107"/>
  <c r="G146" i="107"/>
  <c r="J176" i="107" s="1"/>
  <c r="S146" i="107"/>
  <c r="D148" i="107" l="1"/>
  <c r="B4" i="82"/>
  <c r="J286" i="121"/>
  <c r="G148" i="107"/>
  <c r="C16" i="86"/>
  <c r="G258" i="121"/>
  <c r="C18" i="100"/>
  <c r="L34" i="106"/>
  <c r="L77" i="121" s="1"/>
  <c r="I104" i="121"/>
  <c r="E16" i="86"/>
  <c r="I61" i="106"/>
  <c r="C38" i="100" l="1"/>
  <c r="D18" i="100"/>
  <c r="C19" i="100"/>
  <c r="C20" i="100"/>
  <c r="B45" i="82" l="1"/>
  <c r="B46" i="82"/>
  <c r="B25" i="82" s="1"/>
  <c r="B52" i="82" s="1"/>
  <c r="B54" i="82" s="1"/>
  <c r="F241" i="121"/>
  <c r="B727" i="121"/>
  <c r="B738" i="121" s="1"/>
  <c r="B735" i="121"/>
  <c r="F131" i="107"/>
  <c r="S25" i="111"/>
  <c r="S26" i="111"/>
  <c r="S27" i="111"/>
  <c r="S28" i="111"/>
  <c r="B33" i="111"/>
  <c r="S31" i="111" s="1"/>
  <c r="S33" i="111"/>
  <c r="S34" i="111"/>
  <c r="B35" i="111"/>
  <c r="S36" i="111"/>
  <c r="S37" i="111"/>
  <c r="B38" i="111"/>
  <c r="S38" i="111"/>
  <c r="S39" i="111"/>
  <c r="B41" i="111"/>
  <c r="C41" i="111" s="1"/>
  <c r="E10" i="87"/>
  <c r="C75" i="100"/>
  <c r="C77" i="100" s="1"/>
  <c r="G75" i="100"/>
  <c r="G77" i="100" s="1"/>
  <c r="I75" i="100"/>
  <c r="I77" i="100" s="1"/>
  <c r="K75" i="100"/>
  <c r="K77" i="100" s="1"/>
  <c r="C76" i="100"/>
  <c r="C73" i="100" s="1"/>
  <c r="G76" i="100"/>
  <c r="G73" i="100" s="1"/>
  <c r="C72" i="100" l="1"/>
  <c r="S30" i="111"/>
  <c r="C52" i="82"/>
  <c r="C54" i="82" s="1"/>
  <c r="S29" i="111"/>
  <c r="I76" i="100"/>
  <c r="I73" i="100" s="1"/>
  <c r="S24" i="111"/>
  <c r="S35" i="111"/>
  <c r="F47" i="106" s="1"/>
  <c r="F90" i="121" s="1"/>
  <c r="S23" i="111"/>
  <c r="K72" i="100"/>
  <c r="S22" i="111"/>
  <c r="C11" i="86"/>
  <c r="I72" i="100"/>
  <c r="C9" i="86"/>
  <c r="G72" i="100"/>
  <c r="B741" i="121"/>
  <c r="K76" i="100"/>
  <c r="K73" i="100" s="1"/>
  <c r="D41" i="111"/>
  <c r="C741" i="121"/>
  <c r="B55" i="82"/>
  <c r="B56" i="82" s="1"/>
  <c r="D11" i="86"/>
  <c r="D17" i="86" s="1"/>
  <c r="D18" i="86" s="1"/>
  <c r="D20" i="86" s="1"/>
  <c r="D24" i="86" s="1"/>
  <c r="K7" i="86" s="1"/>
  <c r="C55" i="82"/>
  <c r="C56" i="82" s="1"/>
  <c r="D52" i="82"/>
  <c r="D54" i="82" s="1"/>
  <c r="B72" i="82"/>
  <c r="B74" i="82" s="1"/>
  <c r="J72" i="82"/>
  <c r="J74" i="82" s="1"/>
  <c r="E52" i="82"/>
  <c r="E54" i="82" s="1"/>
  <c r="C72" i="82"/>
  <c r="C74" i="82" s="1"/>
  <c r="H52" i="82"/>
  <c r="H54" i="82" s="1"/>
  <c r="K52" i="82"/>
  <c r="K54" i="82" s="1"/>
  <c r="I72" i="82"/>
  <c r="I74" i="82" s="1"/>
  <c r="F52" i="82"/>
  <c r="F54" i="82" s="1"/>
  <c r="D72" i="82"/>
  <c r="D74" i="82" s="1"/>
  <c r="F72" i="82"/>
  <c r="F74" i="82" s="1"/>
  <c r="I52" i="82"/>
  <c r="I54" i="82" s="1"/>
  <c r="G72" i="82"/>
  <c r="G74" i="82" s="1"/>
  <c r="G52" i="82"/>
  <c r="G54" i="82" s="1"/>
  <c r="E72" i="82"/>
  <c r="E74" i="82" s="1"/>
  <c r="B26" i="82"/>
  <c r="J52" i="82"/>
  <c r="J54" i="82" s="1"/>
  <c r="H72" i="82"/>
  <c r="H74" i="82" s="1"/>
  <c r="K72" i="82"/>
  <c r="K74" i="82" s="1"/>
  <c r="C80" i="100"/>
  <c r="C81" i="100"/>
  <c r="E75" i="100"/>
  <c r="S21" i="111"/>
  <c r="S32" i="111"/>
  <c r="S40" i="111"/>
  <c r="C17" i="86" l="1"/>
  <c r="C18" i="86" s="1"/>
  <c r="L47" i="106"/>
  <c r="L90" i="121" s="1"/>
  <c r="C20" i="86"/>
  <c r="C24" i="86" s="1"/>
  <c r="K6" i="86" s="1"/>
  <c r="G75" i="82"/>
  <c r="G76" i="82" s="1"/>
  <c r="F55" i="82"/>
  <c r="F56" i="82" s="1"/>
  <c r="K75" i="82"/>
  <c r="K76" i="82" s="1"/>
  <c r="D75" i="82"/>
  <c r="D76" i="82" s="1"/>
  <c r="I75" i="82"/>
  <c r="I76" i="82" s="1"/>
  <c r="K55" i="82"/>
  <c r="K56" i="82" s="1"/>
  <c r="J78" i="82"/>
  <c r="B5" i="82"/>
  <c r="B6" i="82" s="1"/>
  <c r="B7" i="82" s="1"/>
  <c r="B9" i="82"/>
  <c r="B10" i="82" s="1"/>
  <c r="B11" i="82" s="1"/>
  <c r="H58" i="82"/>
  <c r="K78" i="82"/>
  <c r="D58" i="82"/>
  <c r="E58" i="82"/>
  <c r="I58" i="82"/>
  <c r="B58" i="82"/>
  <c r="C78" i="82"/>
  <c r="B28" i="82"/>
  <c r="B29" i="82" s="1"/>
  <c r="F58" i="82"/>
  <c r="F78" i="82"/>
  <c r="G78" i="82"/>
  <c r="C58" i="82"/>
  <c r="D78" i="82"/>
  <c r="G58" i="82"/>
  <c r="E78" i="82"/>
  <c r="I78" i="82"/>
  <c r="K58" i="82"/>
  <c r="B78" i="82" s="1"/>
  <c r="H78" i="82"/>
  <c r="J58" i="82"/>
  <c r="E55" i="82"/>
  <c r="E56" i="82" s="1"/>
  <c r="D741" i="121"/>
  <c r="E41" i="111"/>
  <c r="F11" i="86" s="1"/>
  <c r="F17" i="86" s="1"/>
  <c r="F18" i="86" s="1"/>
  <c r="F20" i="86" s="1"/>
  <c r="F24" i="86" s="1"/>
  <c r="K9" i="86" s="1"/>
  <c r="D55" i="82"/>
  <c r="D56" i="82"/>
  <c r="I55" i="82"/>
  <c r="I56" i="82" s="1"/>
  <c r="F75" i="82"/>
  <c r="F76" i="82" s="1"/>
  <c r="E72" i="100"/>
  <c r="E76" i="100"/>
  <c r="E73" i="100" s="1"/>
  <c r="E77" i="100"/>
  <c r="H75" i="82"/>
  <c r="H76" i="82" s="1"/>
  <c r="H55" i="82"/>
  <c r="H56" i="82" s="1"/>
  <c r="J55" i="82"/>
  <c r="J56" i="82" s="1"/>
  <c r="C75" i="82"/>
  <c r="C76" i="82" s="1"/>
  <c r="E75" i="82"/>
  <c r="E76" i="82" s="1"/>
  <c r="J75" i="82"/>
  <c r="J76" i="82" s="1"/>
  <c r="G55" i="82"/>
  <c r="G56" i="82" s="1"/>
  <c r="B75" i="82"/>
  <c r="B76" i="82" s="1"/>
  <c r="E11" i="86"/>
  <c r="E17" i="86" s="1"/>
  <c r="E18" i="86" s="1"/>
  <c r="E20" i="86" s="1"/>
  <c r="E24" i="86" s="1"/>
  <c r="K8" i="86" s="1"/>
  <c r="E741" i="121" l="1"/>
  <c r="F41" i="111"/>
  <c r="G11" i="86" s="1"/>
  <c r="G17" i="86" s="1"/>
  <c r="G18" i="86" s="1"/>
  <c r="G20" i="86" s="1"/>
  <c r="G24" i="86" s="1"/>
  <c r="K10" i="86" s="1"/>
  <c r="G41" i="111" l="1"/>
  <c r="H11" i="86" s="1"/>
  <c r="H17" i="86" s="1"/>
  <c r="H18" i="86" s="1"/>
  <c r="H20" i="86" s="1"/>
  <c r="H24" i="86" s="1"/>
  <c r="K11" i="86" s="1"/>
  <c r="F741" i="121"/>
  <c r="H41" i="111" l="1"/>
  <c r="G741" i="121"/>
  <c r="H741" i="121" l="1"/>
  <c r="I41" i="111"/>
  <c r="I11" i="86"/>
  <c r="I17" i="86" s="1"/>
  <c r="I18" i="86" s="1"/>
  <c r="I20" i="86" s="1"/>
  <c r="I24" i="86" s="1"/>
  <c r="K12" i="86" s="1"/>
  <c r="I741" i="121" l="1"/>
  <c r="J41" i="111"/>
  <c r="C31" i="86"/>
  <c r="C37" i="86" s="1"/>
  <c r="C38" i="86" s="1"/>
  <c r="C40" i="86" s="1"/>
  <c r="C44" i="86" s="1"/>
  <c r="K13" i="86" s="1"/>
  <c r="J741" i="121" l="1"/>
  <c r="K41" i="111"/>
  <c r="D31" i="86"/>
  <c r="D37" i="86" s="1"/>
  <c r="D38" i="86" s="1"/>
  <c r="D40" i="86" s="1"/>
  <c r="D44" i="86" s="1"/>
  <c r="K14" i="86" s="1"/>
  <c r="B73" i="111" l="1"/>
  <c r="F31" i="86" s="1"/>
  <c r="F37" i="86" s="1"/>
  <c r="F38" i="86" s="1"/>
  <c r="F40" i="86" s="1"/>
  <c r="F44" i="86" s="1"/>
  <c r="K16" i="86" s="1"/>
  <c r="K741" i="121"/>
  <c r="E31" i="86"/>
  <c r="E37" i="86" s="1"/>
  <c r="E38" i="86" s="1"/>
  <c r="E40" i="86" s="1"/>
  <c r="E44" i="86" s="1"/>
  <c r="K15" i="86" s="1"/>
  <c r="B773" i="121" l="1"/>
  <c r="C73" i="111"/>
  <c r="D73" i="111" l="1"/>
  <c r="C773" i="121"/>
  <c r="G31" i="86"/>
  <c r="G37" i="86" s="1"/>
  <c r="G38" i="86" s="1"/>
  <c r="G40" i="86" s="1"/>
  <c r="G44" i="86" s="1"/>
  <c r="K17" i="86" s="1"/>
  <c r="E73" i="111" l="1"/>
  <c r="D773" i="121"/>
  <c r="H31" i="86"/>
  <c r="H37" i="86" s="1"/>
  <c r="H38" i="86" s="1"/>
  <c r="H40" i="86" s="1"/>
  <c r="H44" i="86" s="1"/>
  <c r="K18" i="86" s="1"/>
  <c r="F73" i="111" l="1"/>
  <c r="E773" i="121"/>
  <c r="I31" i="86"/>
  <c r="I37" i="86" s="1"/>
  <c r="I38" i="86" s="1"/>
  <c r="I40" i="86" s="1"/>
  <c r="I44" i="86" s="1"/>
  <c r="K19" i="86" s="1"/>
  <c r="F773" i="121" l="1"/>
  <c r="G73" i="111"/>
  <c r="C51" i="86"/>
  <c r="C57" i="86" s="1"/>
  <c r="C58" i="86" s="1"/>
  <c r="C60" i="86" s="1"/>
  <c r="C64" i="86" s="1"/>
  <c r="K20" i="86" s="1"/>
  <c r="G773" i="121" l="1"/>
  <c r="H73" i="111"/>
  <c r="D51" i="86"/>
  <c r="D57" i="86" s="1"/>
  <c r="D58" i="86" s="1"/>
  <c r="D60" i="86" s="1"/>
  <c r="D64" i="86" s="1"/>
  <c r="K21" i="86" s="1"/>
  <c r="H773" i="121" l="1"/>
  <c r="I73" i="111"/>
  <c r="F51" i="86" s="1"/>
  <c r="F57" i="86" s="1"/>
  <c r="F58" i="86" s="1"/>
  <c r="F60" i="86" s="1"/>
  <c r="F64" i="86" s="1"/>
  <c r="K23" i="86" s="1"/>
  <c r="E51" i="86"/>
  <c r="E57" i="86" s="1"/>
  <c r="E58" i="86" s="1"/>
  <c r="E60" i="86" s="1"/>
  <c r="E64" i="86" s="1"/>
  <c r="K22" i="86" s="1"/>
  <c r="I773" i="121" l="1"/>
  <c r="J73" i="111"/>
  <c r="G51" i="86" s="1"/>
  <c r="G57" i="86" s="1"/>
  <c r="G58" i="86" s="1"/>
  <c r="G60" i="86" s="1"/>
  <c r="G64" i="86" s="1"/>
  <c r="K24" i="86" s="1"/>
  <c r="J773" i="121" l="1"/>
  <c r="K73" i="111"/>
  <c r="K773" i="121" l="1"/>
  <c r="B104" i="111"/>
  <c r="H51" i="86"/>
  <c r="H57" i="86" s="1"/>
  <c r="H58" i="86" s="1"/>
  <c r="H60" i="86" s="1"/>
  <c r="H64" i="86" s="1"/>
  <c r="K25" i="86" s="1"/>
  <c r="B804" i="121" l="1"/>
  <c r="C104" i="111"/>
  <c r="D104" i="111" l="1"/>
  <c r="C804" i="121"/>
  <c r="D804" i="121" l="1"/>
  <c r="E104" i="111"/>
  <c r="F104" i="111" l="1"/>
  <c r="E804" i="121"/>
  <c r="G104" i="111" l="1"/>
  <c r="F804" i="121"/>
  <c r="H104" i="111" l="1"/>
  <c r="G804" i="121"/>
  <c r="H804" i="121" l="1"/>
  <c r="I104" i="111"/>
  <c r="I804" i="121" l="1"/>
  <c r="J104" i="111"/>
  <c r="J804" i="121" l="1"/>
  <c r="K104" i="111"/>
  <c r="B134" i="111" l="1"/>
  <c r="K804" i="121"/>
  <c r="B834" i="121" l="1"/>
  <c r="C134" i="111"/>
  <c r="C834" i="121" l="1"/>
  <c r="D134" i="111"/>
  <c r="D834" i="121" l="1"/>
  <c r="E134" i="111"/>
  <c r="F134" i="111" l="1"/>
  <c r="F834" i="121" s="1"/>
  <c r="E834" i="121"/>
  <c r="K5" i="86" l="1"/>
  <c r="E6" i="86"/>
  <c r="C21" i="86"/>
  <c r="D21" i="86"/>
  <c r="E21" i="86"/>
  <c r="F21" i="86"/>
  <c r="G21" i="86"/>
  <c r="H21" i="86"/>
  <c r="I21" i="86"/>
  <c r="C22" i="86"/>
  <c r="D22" i="86"/>
  <c r="E22" i="86"/>
  <c r="F22" i="86"/>
  <c r="G22" i="86"/>
  <c r="H22" i="86"/>
  <c r="I22" i="86"/>
  <c r="C41" i="86"/>
  <c r="D41" i="86"/>
  <c r="E41" i="86"/>
  <c r="C42" i="86"/>
  <c r="D42" i="86"/>
  <c r="E42" i="86"/>
  <c r="G66" i="86"/>
  <c r="G11" i="91"/>
  <c r="L11" i="95"/>
  <c r="B14" i="82"/>
  <c r="B15" i="82"/>
  <c r="B20" i="82"/>
  <c r="G20" i="82"/>
  <c r="B21" i="82"/>
  <c r="G21" i="82"/>
  <c r="I9" i="121"/>
  <c r="L71" i="121"/>
  <c r="L72" i="121"/>
  <c r="L76" i="121"/>
  <c r="L78" i="121"/>
  <c r="P90" i="121"/>
  <c r="I94" i="121"/>
  <c r="L94" i="121"/>
  <c r="N94" i="121"/>
  <c r="P94" i="121"/>
  <c r="I95" i="121"/>
  <c r="L95" i="121"/>
  <c r="N95" i="121"/>
  <c r="P95" i="121"/>
  <c r="P96" i="121"/>
  <c r="I103" i="121"/>
  <c r="I105" i="121"/>
  <c r="E218" i="121"/>
  <c r="J218" i="121"/>
  <c r="J287" i="121"/>
  <c r="J288" i="121"/>
  <c r="J290" i="121"/>
  <c r="J293" i="121"/>
  <c r="J297" i="121"/>
  <c r="M299" i="121"/>
  <c r="J301" i="121"/>
  <c r="A21" i="83"/>
  <c r="E108" i="107"/>
  <c r="J108" i="107"/>
  <c r="J177" i="107"/>
  <c r="J178" i="107"/>
  <c r="J180" i="107"/>
  <c r="J183" i="107"/>
  <c r="J187" i="107"/>
  <c r="M189" i="107"/>
  <c r="J191" i="107"/>
  <c r="L28" i="106"/>
  <c r="L29" i="106"/>
  <c r="L33" i="106"/>
  <c r="L35" i="106"/>
  <c r="P47" i="106"/>
  <c r="I51" i="106"/>
  <c r="L51" i="106"/>
  <c r="N51" i="106"/>
  <c r="P51" i="106"/>
  <c r="I52" i="106"/>
  <c r="L52" i="106"/>
  <c r="N52" i="106"/>
  <c r="P52" i="106"/>
  <c r="P53" i="106"/>
  <c r="I60" i="106"/>
  <c r="I62" i="106"/>
  <c r="I10" i="105"/>
  <c r="C30" i="100"/>
  <c r="K40" i="100"/>
  <c r="A67" i="85"/>
  <c r="L67" i="85"/>
  <c r="M67" i="85"/>
  <c r="O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<sst xmlns="http://schemas.openxmlformats.org/spreadsheetml/2006/main" count="14329" uniqueCount="5224">
  <si>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</si>
  <si>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</si>
  <si>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</si>
  <si>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</si>
  <si>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</si>
  <si>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</si>
  <si>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</si>
  <si>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</si>
  <si>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</si>
  <si>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</si>
  <si>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</si>
  <si>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</si>
  <si>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</si>
  <si>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</si>
  <si>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</si>
  <si>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</si>
  <si>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</si>
  <si>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</si>
  <si>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</si>
  <si>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</si>
  <si>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</si>
  <si>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</si>
  <si>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</si>
  <si>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</si>
  <si>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</si>
  <si>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</si>
  <si>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</si>
  <si>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</si>
  <si>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</si>
  <si>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</si>
  <si>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</si>
  <si>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</si>
  <si>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</si>
  <si>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</si>
  <si>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</si>
  <si>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</si>
  <si>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</si>
  <si>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</si>
  <si>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</si>
  <si>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</si>
  <si>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</si>
  <si>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</si>
  <si>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</si>
  <si>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</si>
  <si>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</si>
  <si>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</si>
  <si>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</si>
  <si>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</si>
  <si>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</si>
  <si>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</si>
  <si>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</si>
  <si>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</si>
  <si>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</si>
  <si>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</si>
  <si>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</si>
  <si>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</si>
  <si>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</si>
  <si>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</si>
  <si>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</si>
  <si>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</si>
  <si>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</si>
  <si>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</si>
  <si>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</si>
  <si>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</si>
  <si>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</si>
  <si>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</si>
  <si>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</si>
  <si>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</si>
  <si>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</si>
  <si>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</si>
  <si>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</si>
  <si>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</si>
  <si>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</si>
  <si>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</si>
  <si>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</si>
  <si>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</si>
  <si>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</si>
  <si>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</si>
  <si>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</si>
  <si>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</si>
  <si>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</si>
  <si>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</si>
  <si>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</si>
  <si>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</si>
  <si>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</si>
  <si>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</si>
  <si>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</si>
  <si>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</si>
  <si>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</si>
  <si>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</si>
  <si>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</si>
  <si>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</si>
  <si>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</si>
  <si>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</si>
  <si>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</si>
  <si>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</si>
  <si>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</si>
  <si>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</si>
  <si>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</si>
  <si>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</si>
  <si>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</si>
  <si>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</si>
  <si>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</si>
  <si>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</si>
  <si>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</si>
  <si>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</si>
  <si>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</si>
  <si>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</si>
  <si>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</si>
  <si>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</si>
  <si>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</si>
  <si>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</si>
  <si>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</si>
  <si>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</si>
  <si>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</si>
  <si>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</si>
  <si>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</si>
  <si>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</si>
  <si>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</si>
  <si>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</si>
  <si>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</si>
  <si>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</si>
  <si>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</si>
  <si>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</si>
  <si>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</si>
  <si>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</si>
  <si>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</si>
  <si>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</si>
  <si>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</si>
  <si>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</si>
  <si>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</si>
  <si>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</si>
  <si>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</si>
  <si>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</si>
  <si>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</si>
  <si>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</si>
  <si>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</si>
  <si>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</si>
  <si>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</si>
  <si>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</si>
  <si>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</si>
  <si>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</si>
  <si>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</si>
  <si>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</si>
  <si>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</si>
  <si>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</si>
  <si>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</si>
  <si>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</si>
  <si>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</si>
  <si>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</si>
  <si>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</si>
  <si>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</si>
  <si>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</si>
  <si>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</si>
  <si>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</si>
  <si>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</si>
  <si>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</si>
  <si>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</si>
  <si>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</si>
  <si>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</si>
  <si>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</si>
  <si>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</si>
  <si>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</si>
  <si>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</si>
  <si>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</si>
  <si>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</si>
  <si>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</si>
  <si>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</si>
  <si>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</si>
  <si>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</si>
  <si>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</si>
  <si>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</si>
  <si>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</si>
  <si>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</si>
  <si>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</si>
  <si>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</si>
  <si>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</si>
  <si>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</si>
  <si>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</si>
  <si>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</si>
  <si>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</si>
  <si>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</si>
  <si>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</si>
  <si>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</si>
  <si>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</si>
  <si>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</si>
  <si>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</si>
  <si>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</si>
  <si>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</si>
  <si>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</si>
  <si>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</si>
  <si>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</si>
  <si>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</si>
  <si>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</si>
  <si>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</si>
  <si>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</si>
  <si>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</si>
  <si>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</si>
  <si>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</si>
  <si>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</si>
  <si>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</si>
  <si>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</si>
  <si>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</si>
  <si>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</si>
  <si>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</si>
  <si>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</si>
  <si>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</si>
  <si>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</si>
  <si>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</si>
  <si>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</si>
  <si>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</si>
  <si>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</si>
  <si>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</si>
  <si>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</si>
  <si>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</si>
  <si>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</si>
  <si>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</si>
  <si>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</si>
  <si>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</si>
  <si>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</si>
  <si>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</si>
  <si>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</si>
  <si>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</si>
  <si>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</si>
  <si>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</si>
  <si>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</si>
  <si>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</si>
  <si>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</si>
  <si>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</si>
  <si>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</si>
  <si>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</si>
  <si>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</si>
  <si>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</si>
  <si>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</si>
  <si>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</si>
  <si>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</si>
  <si>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</si>
  <si>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</si>
  <si>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</si>
  <si>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</si>
  <si>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</si>
  <si>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</si>
  <si>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</si>
  <si>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</si>
  <si>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</si>
  <si>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</si>
  <si>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</si>
  <si>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</si>
  <si>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</si>
  <si>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</si>
  <si>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</si>
  <si>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</si>
  <si>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</si>
  <si>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</si>
  <si>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</si>
  <si>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</si>
  <si>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</si>
  <si>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</si>
  <si>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</si>
  <si>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</si>
  <si>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</si>
  <si>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</si>
  <si>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</si>
  <si>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</si>
  <si>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</si>
  <si>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</si>
  <si>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</si>
  <si>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</si>
  <si>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</si>
  <si>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</si>
  <si>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</si>
  <si>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</si>
  <si>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</si>
  <si>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</si>
  <si>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</si>
  <si>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</si>
  <si>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</si>
  <si>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</si>
  <si>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</si>
  <si>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</si>
  <si>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</si>
  <si>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</si>
  <si>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</si>
  <si>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</si>
  <si>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</si>
  <si>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</si>
  <si>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</si>
  <si>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</si>
  <si>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</si>
  <si>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</si>
  <si>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</si>
  <si>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</si>
  <si>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</si>
  <si>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</si>
  <si>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</si>
  <si>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</si>
  <si>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</si>
  <si>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</si>
  <si>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</si>
  <si>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</si>
  <si>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</si>
  <si>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</si>
  <si>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</si>
  <si>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</si>
  <si>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</si>
  <si>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</si>
  <si>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</si>
  <si>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</si>
  <si>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</si>
  <si>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</si>
  <si>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</si>
  <si>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</si>
  <si>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</si>
  <si>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</si>
  <si>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</si>
  <si>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</si>
  <si>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</si>
  <si>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</si>
  <si>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</si>
  <si>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</si>
  <si>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</si>
  <si>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</si>
  <si>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</si>
  <si>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</si>
  <si>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</si>
  <si>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</si>
  <si>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</si>
  <si>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</si>
  <si>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</si>
  <si>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</si>
  <si>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</si>
  <si>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</si>
  <si>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</si>
  <si>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</si>
  <si>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</si>
  <si>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</si>
  <si>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</si>
  <si>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</si>
  <si>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</si>
  <si>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</si>
  <si>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</si>
  <si>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</si>
  <si>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</si>
  <si>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</si>
  <si>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</si>
  <si>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</si>
  <si>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</si>
  <si>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</si>
  <si>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</si>
  <si>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</si>
  <si>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</si>
  <si>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</si>
  <si>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</si>
  <si>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</si>
  <si>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</si>
  <si>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</si>
  <si>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</si>
  <si>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</si>
  <si>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</si>
  <si>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</si>
  <si>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</si>
  <si>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</si>
  <si>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</si>
  <si>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</si>
  <si>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</si>
  <si>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</si>
  <si>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</si>
  <si>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</si>
  <si>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</si>
  <si>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</si>
  <si>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</si>
  <si>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</si>
  <si>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</si>
  <si>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</si>
  <si>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</si>
  <si>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</si>
  <si>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</si>
  <si>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</si>
  <si>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</si>
  <si>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</si>
  <si>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</si>
  <si>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</si>
  <si>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</si>
  <si>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</si>
  <si>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</si>
  <si>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</si>
  <si>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</si>
  <si>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</si>
  <si>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</si>
  <si>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</si>
  <si>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</si>
  <si>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</si>
  <si>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</si>
  <si>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</si>
  <si>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</si>
  <si>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</si>
  <si>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</si>
  <si>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</si>
  <si>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</si>
  <si>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</si>
  <si>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</si>
  <si>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</si>
  <si>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</si>
  <si>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</si>
  <si>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</si>
  <si>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</si>
  <si>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</si>
  <si>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</si>
  <si>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</si>
  <si>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</si>
  <si>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</si>
  <si>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</si>
  <si>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</si>
  <si>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</si>
  <si>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</si>
  <si>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</si>
  <si>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</si>
  <si>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</si>
  <si>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</si>
  <si>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</si>
  <si>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</si>
  <si>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</si>
  <si>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</si>
  <si>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</si>
  <si>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</si>
  <si>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</si>
  <si>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</si>
  <si>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</si>
  <si>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</si>
  <si>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</si>
  <si>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</si>
  <si>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</si>
  <si>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</si>
  <si>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</si>
  <si>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</si>
  <si>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</si>
  <si>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</si>
  <si>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</si>
  <si>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</si>
  <si>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</si>
  <si>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</si>
  <si>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</si>
  <si>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</si>
  <si>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</si>
  <si>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</si>
  <si>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</si>
  <si>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</si>
  <si>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</si>
  <si>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</si>
  <si>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</si>
  <si>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</si>
  <si>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</si>
  <si>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</si>
  <si>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</si>
  <si>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</si>
  <si>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</si>
  <si>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</si>
  <si>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</si>
  <si>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</si>
  <si>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</si>
  <si>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</si>
  <si>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</si>
  <si>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</si>
  <si>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</si>
  <si>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</si>
  <si>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</si>
  <si>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</si>
  <si>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</si>
  <si>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</si>
  <si>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</si>
  <si>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</si>
  <si>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</si>
  <si>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</si>
  <si>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</si>
  <si>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</si>
  <si>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</si>
  <si>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</si>
  <si>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</si>
  <si>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</si>
  <si>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</si>
  <si>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</si>
  <si>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</si>
  <si>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</si>
  <si>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</si>
  <si>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</si>
  <si>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</si>
  <si>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</si>
  <si>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</si>
  <si>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</si>
  <si>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</si>
  <si>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</si>
  <si>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</si>
  <si>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</si>
  <si>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</si>
  <si>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</si>
  <si>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</si>
  <si>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</si>
  <si>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</si>
  <si>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</si>
  <si>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</si>
  <si>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</si>
  <si>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</si>
  <si>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</si>
  <si>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</si>
  <si>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</si>
  <si>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</si>
  <si>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</si>
  <si>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</si>
  <si>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</si>
  <si>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</si>
  <si>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</si>
  <si>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</si>
  <si>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</si>
  <si>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</si>
  <si>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</si>
  <si>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</si>
  <si>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</si>
  <si>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</si>
  <si>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</si>
  <si>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</si>
  <si>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</si>
  <si>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</si>
  <si>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</si>
  <si>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</si>
  <si>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</si>
  <si>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</si>
  <si>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</si>
  <si>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</si>
  <si>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</si>
  <si>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</si>
  <si>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</si>
  <si>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</si>
  <si>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</si>
  <si>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</si>
  <si>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</si>
  <si>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</si>
  <si>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</si>
  <si>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</si>
  <si>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</si>
  <si>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</si>
  <si>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</si>
  <si>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</si>
  <si>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</si>
  <si>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</si>
  <si>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</si>
  <si>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</si>
  <si>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</si>
  <si>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</si>
  <si>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</si>
  <si>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</si>
  <si>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</si>
  <si>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</si>
  <si>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</si>
  <si>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</si>
  <si>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</si>
  <si>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</si>
  <si>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</si>
  <si>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</si>
  <si>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</si>
  <si>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</si>
  <si>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</si>
  <si>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</si>
  <si>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</si>
  <si>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</si>
  <si>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</si>
  <si>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</si>
  <si>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</si>
  <si>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</si>
  <si>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</si>
  <si>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</si>
  <si>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</si>
  <si>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</si>
  <si>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</si>
  <si>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</si>
  <si>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</si>
  <si>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</si>
  <si>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</si>
  <si>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</si>
  <si>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</si>
  <si>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</si>
  <si>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</si>
  <si>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</si>
  <si>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</si>
  <si>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</si>
  <si>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</si>
  <si>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</si>
  <si>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</si>
  <si>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</si>
  <si>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</si>
  <si>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</si>
  <si>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</si>
  <si>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</si>
  <si>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</si>
  <si>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</si>
  <si>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</si>
  <si>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</si>
  <si>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</si>
  <si>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</si>
  <si>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</si>
  <si>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</si>
  <si>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</si>
  <si>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</si>
  <si>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</si>
  <si>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</si>
  <si>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</si>
  <si>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</si>
  <si>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</si>
  <si>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</si>
  <si>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</si>
  <si>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</si>
  <si>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</si>
  <si>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</si>
  <si>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</si>
  <si>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</si>
  <si>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</si>
  <si>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</si>
  <si>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</si>
  <si>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</si>
  <si>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</si>
  <si>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</si>
  <si>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</si>
  <si>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</si>
  <si>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</si>
  <si>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</si>
  <si>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</si>
  <si>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</si>
  <si>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</si>
  <si>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</si>
  <si>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</si>
  <si>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</si>
  <si>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</si>
  <si>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</si>
  <si>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</si>
  <si>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</si>
  <si>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</si>
  <si>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</si>
  <si>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</si>
  <si>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</si>
  <si>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</si>
  <si>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</si>
  <si>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</si>
  <si>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</si>
  <si>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</si>
  <si>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</si>
  <si>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</si>
  <si>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</si>
  <si>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</si>
  <si>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</si>
  <si>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</si>
  <si>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</si>
  <si>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</si>
  <si>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</si>
  <si>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</si>
  <si>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</si>
  <si>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</si>
  <si>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</si>
  <si>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</si>
  <si>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</si>
  <si>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</si>
  <si>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</si>
  <si>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</si>
  <si>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</si>
  <si>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</si>
  <si>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</si>
  <si>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</si>
  <si>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</si>
  <si>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</si>
  <si>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</si>
  <si>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</si>
  <si>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</si>
  <si>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</si>
  <si>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</si>
  <si>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</si>
  <si>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</si>
  <si>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</si>
  <si>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</si>
  <si>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</si>
  <si>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</si>
  <si>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</si>
  <si>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</si>
  <si>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</si>
  <si>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</si>
  <si>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</si>
  <si>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</si>
  <si>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</si>
  <si>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</si>
  <si>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</si>
  <si>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</si>
  <si>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</si>
  <si>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</si>
  <si>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</si>
  <si>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</si>
  <si>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</si>
  <si>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</si>
  <si>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</si>
  <si>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</si>
  <si>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</si>
  <si>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</si>
  <si>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</si>
  <si>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</si>
  <si>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</si>
  <si>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</si>
  <si>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</si>
  <si>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</si>
  <si>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</si>
  <si>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</si>
  <si>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</si>
  <si>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</si>
  <si>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</si>
  <si>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</si>
  <si>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</si>
  <si>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</si>
  <si>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</si>
  <si>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</si>
  <si>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</si>
  <si>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</si>
  <si>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</si>
  <si>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</si>
  <si>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</si>
  <si>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</si>
  <si>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</si>
  <si>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</si>
  <si>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</si>
  <si>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</si>
  <si>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</si>
  <si>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</si>
  <si>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</si>
  <si>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</si>
  <si>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</si>
  <si>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</si>
  <si>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</si>
  <si>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</si>
  <si>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</si>
  <si>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</si>
  <si>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</si>
  <si>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</si>
  <si>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</si>
  <si>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</si>
  <si>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</si>
  <si>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</si>
  <si>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</si>
  <si>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</si>
  <si>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</si>
  <si>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</si>
  <si>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</si>
  <si>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</si>
  <si>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</si>
  <si>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</si>
  <si>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</si>
  <si>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</si>
  <si>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</si>
  <si>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</si>
  <si>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</si>
  <si>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</si>
  <si>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</si>
  <si>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</si>
  <si>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</si>
  <si>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</si>
  <si>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</si>
  <si>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</si>
  <si>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</si>
  <si>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</si>
  <si>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</si>
  <si>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</si>
  <si>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</si>
  <si>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</si>
  <si>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</si>
  <si>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</si>
  <si>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</si>
  <si>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</si>
  <si>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</si>
  <si>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</si>
  <si>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</si>
  <si>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</si>
  <si>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</si>
  <si>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</si>
  <si>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</si>
  <si>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</si>
  <si>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</si>
  <si>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</si>
  <si>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</si>
  <si>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</si>
  <si>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</si>
  <si>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</si>
  <si>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</si>
  <si>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</si>
  <si>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</si>
  <si>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</si>
  <si>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</si>
  <si>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</si>
  <si>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</si>
  <si>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</si>
  <si>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</si>
  <si>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</si>
  <si>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</si>
  <si>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</si>
  <si>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</si>
  <si>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</si>
  <si>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</si>
  <si>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</si>
  <si>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</si>
  <si>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</si>
  <si>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</si>
  <si>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</si>
  <si>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</si>
  <si>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</si>
  <si>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</si>
  <si>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</si>
  <si>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</si>
  <si>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</si>
  <si>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</si>
  <si>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</si>
  <si>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</si>
  <si>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</si>
  <si>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</si>
  <si>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</si>
  <si>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</si>
  <si>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</si>
  <si>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</si>
  <si>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</si>
  <si>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</si>
  <si>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</si>
  <si>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</si>
  <si>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</si>
  <si>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</si>
  <si>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</si>
  <si>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</si>
  <si>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</si>
  <si>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</si>
  <si>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</si>
  <si>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</si>
  <si>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</si>
  <si>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</si>
  <si>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</si>
  <si>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</si>
  <si>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</si>
  <si>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</si>
  <si>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</si>
  <si>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</si>
  <si>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</si>
  <si>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</si>
  <si>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</si>
  <si>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</si>
  <si>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</si>
  <si>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</si>
  <si>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</si>
  <si>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</si>
  <si>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</si>
  <si>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</si>
  <si>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</si>
  <si>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</si>
  <si>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</si>
  <si>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</si>
  <si>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</si>
  <si>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</si>
  <si>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</si>
  <si>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</si>
  <si>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</si>
  <si>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</si>
  <si>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</si>
  <si>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</si>
  <si>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</si>
  <si>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</si>
  <si>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</si>
  <si>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</si>
  <si>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</si>
  <si>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</si>
  <si>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</si>
  <si>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</si>
  <si>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</si>
  <si>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</si>
  <si>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</si>
  <si>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</si>
  <si>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</si>
  <si>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</si>
  <si>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</si>
  <si>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</si>
  <si>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</si>
  <si>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</si>
  <si>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</si>
  <si>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</si>
  <si>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</si>
  <si>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</si>
  <si>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</si>
  <si>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</si>
  <si>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</si>
  <si>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</si>
  <si>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</si>
  <si>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</si>
  <si>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</si>
  <si>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</si>
  <si>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</si>
  <si>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</si>
  <si>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</si>
  <si>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</si>
  <si>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</si>
  <si>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</si>
  <si>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</si>
  <si>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</si>
  <si>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</si>
  <si>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</si>
  <si>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</si>
  <si>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</si>
  <si>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</si>
  <si>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</si>
  <si>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</si>
  <si>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</si>
  <si>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</si>
  <si>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</si>
  <si>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</si>
  <si>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</si>
  <si>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</si>
  <si>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</si>
  <si>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</si>
  <si>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</si>
  <si>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</si>
  <si>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</si>
  <si>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</si>
  <si>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</si>
  <si>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</si>
  <si>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</si>
  <si>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</si>
  <si>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</si>
  <si>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</si>
  <si>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</si>
  <si>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</si>
  <si>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</si>
  <si>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</si>
  <si>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</si>
  <si>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</si>
  <si>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</si>
  <si>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</si>
  <si>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</si>
  <si>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</si>
  <si>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</si>
  <si>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</si>
  <si>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</si>
  <si>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</si>
  <si>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</si>
  <si>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</si>
  <si>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</si>
  <si>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</si>
  <si>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</si>
  <si>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</si>
  <si>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</si>
  <si>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</si>
  <si>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</si>
  <si>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</si>
  <si>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</si>
  <si>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</si>
  <si>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</si>
  <si>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</si>
  <si>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</si>
  <si>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</si>
  <si>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</si>
  <si>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</si>
  <si>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</si>
  <si>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</si>
  <si>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</si>
  <si>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</si>
  <si>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</si>
  <si>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</si>
  <si>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</si>
  <si>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</si>
  <si>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</si>
  <si>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</si>
  <si>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</si>
  <si>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</si>
  <si>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</si>
  <si>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</si>
  <si>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</si>
  <si>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</si>
  <si>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</si>
  <si>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</si>
  <si>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</si>
  <si>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</si>
  <si>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</si>
  <si>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</si>
  <si>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</si>
  <si>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</si>
  <si>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</si>
  <si>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</si>
  <si>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</si>
  <si>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</si>
  <si>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</si>
  <si>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</si>
  <si>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</si>
  <si>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</si>
  <si>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</si>
  <si>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</si>
  <si>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</si>
  <si>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</si>
  <si>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</si>
  <si>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</si>
  <si>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</si>
  <si>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</si>
  <si>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</si>
  <si>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</si>
  <si>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</si>
  <si>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</si>
  <si>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</si>
  <si>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</si>
  <si>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</si>
  <si>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</si>
  <si>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</si>
  <si>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</si>
  <si>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</si>
  <si>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</si>
  <si>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</si>
  <si>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</si>
  <si>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</si>
  <si>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</si>
  <si>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</si>
  <si>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</si>
  <si>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</si>
  <si>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</si>
  <si>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</si>
  <si>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</si>
  <si>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</si>
  <si>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</si>
  <si>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</si>
  <si>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</si>
  <si>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</si>
  <si>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</si>
  <si>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</si>
  <si>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</si>
  <si>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</si>
  <si>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</si>
  <si>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</si>
  <si>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</si>
  <si>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</si>
  <si>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</si>
  <si>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</si>
  <si>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</si>
  <si>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</si>
  <si>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</si>
  <si>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</si>
  <si>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</si>
  <si>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</si>
  <si>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</si>
  <si>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</si>
  <si>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</si>
  <si>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</si>
  <si>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</si>
  <si>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</si>
  <si>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</si>
  <si>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</si>
  <si>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</si>
  <si>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</si>
  <si>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</si>
  <si>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</si>
  <si>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</si>
  <si>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</si>
  <si>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</si>
  <si>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</si>
  <si>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</si>
  <si>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</si>
  <si>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</si>
  <si>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</si>
  <si>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</si>
  <si>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</si>
  <si>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</si>
  <si>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</si>
  <si>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</si>
  <si>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</si>
  <si>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</si>
  <si>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</si>
  <si>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</si>
  <si>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</si>
  <si>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</si>
  <si>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</si>
  <si>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</si>
  <si>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</si>
  <si>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</si>
  <si>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</si>
  <si>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</si>
  <si>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</si>
  <si>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</si>
  <si>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</si>
  <si>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</si>
  <si>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</si>
  <si>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</si>
  <si>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</si>
  <si>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</si>
  <si>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</si>
  <si>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</si>
  <si>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</si>
  <si>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</si>
  <si>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</si>
  <si>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</si>
  <si>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</si>
  <si>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</si>
  <si>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</si>
  <si>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</si>
  <si>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</si>
  <si>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</si>
  <si>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</si>
  <si>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</si>
  <si>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</si>
  <si>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</si>
  <si>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</si>
  <si>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</si>
  <si>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</si>
  <si>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</si>
  <si>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</si>
  <si>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</si>
  <si>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</si>
  <si>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</si>
  <si>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</si>
  <si>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</si>
  <si>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</si>
  <si>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</si>
  <si>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</si>
  <si>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</si>
  <si>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</si>
  <si>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</si>
  <si>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</si>
  <si>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</si>
  <si>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</si>
  <si>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</si>
  <si>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</si>
  <si>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</si>
  <si>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</si>
  <si>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</si>
  <si>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</si>
  <si>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</si>
  <si>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</si>
  <si>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</si>
  <si>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</si>
  <si>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</si>
  <si>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</si>
  <si>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</si>
  <si>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</si>
  <si>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</si>
  <si>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</si>
  <si>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</si>
  <si>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</si>
  <si>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</si>
  <si>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</si>
  <si>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</si>
  <si>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</si>
  <si>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</si>
  <si>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</si>
  <si>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</si>
  <si>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</si>
  <si>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</si>
  <si>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</si>
  <si>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</si>
  <si>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</si>
  <si>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</si>
  <si>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</si>
  <si>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</si>
  <si>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</si>
  <si>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</si>
  <si>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</si>
  <si>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</si>
  <si>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</si>
  <si>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</si>
  <si>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</si>
  <si>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</si>
  <si>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</si>
  <si>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</si>
  <si>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</si>
  <si>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</si>
  <si>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</si>
  <si>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</si>
  <si>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</si>
  <si>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</si>
  <si>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</si>
  <si>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</si>
  <si>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</si>
  <si>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</si>
  <si>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</si>
  <si>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</si>
  <si>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</si>
  <si>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</si>
  <si>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</si>
  <si>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</si>
  <si>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</si>
  <si>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</si>
  <si>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</si>
  <si>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</si>
  <si>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</si>
  <si>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</si>
  <si>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</si>
  <si>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</si>
  <si>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</si>
  <si>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</si>
  <si>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</si>
  <si>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</si>
  <si>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</si>
  <si>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</si>
  <si>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</si>
  <si>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</si>
  <si>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</si>
  <si>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</si>
  <si>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</si>
  <si>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</si>
  <si>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</si>
  <si>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</si>
  <si>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</si>
  <si>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</si>
  <si>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</si>
  <si>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</si>
  <si>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</si>
  <si>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</si>
  <si>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</si>
  <si>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</si>
  <si>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</si>
  <si>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</si>
  <si>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</si>
  <si>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</si>
  <si>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</si>
  <si>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</si>
  <si>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</si>
  <si>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</si>
  <si>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</si>
  <si>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</si>
  <si>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</si>
  <si>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</si>
  <si>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</si>
  <si>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</si>
  <si>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</si>
  <si>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</si>
  <si>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</si>
  <si>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</si>
  <si>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</si>
  <si>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</si>
  <si>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</si>
  <si>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</si>
  <si>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</si>
  <si>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</si>
  <si>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</si>
  <si>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</si>
  <si>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</si>
  <si>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</si>
  <si>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</si>
  <si>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</si>
  <si>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</si>
  <si>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</si>
  <si>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</si>
  <si>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</si>
  <si>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</si>
  <si>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</si>
  <si>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</si>
  <si>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</si>
  <si>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</si>
  <si>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</si>
  <si>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</si>
  <si>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</si>
  <si>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</si>
  <si>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</si>
  <si>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</si>
  <si>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</si>
  <si>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</si>
  <si>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</si>
  <si>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</si>
  <si>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</si>
  <si>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</si>
  <si>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</si>
  <si>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</si>
  <si>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</si>
  <si>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</si>
  <si>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</si>
  <si>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</si>
  <si>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</si>
  <si>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</si>
  <si>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</si>
  <si>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</si>
  <si>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</si>
  <si>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</si>
  <si>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</si>
  <si>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</si>
  <si>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</si>
  <si>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</si>
  <si>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</si>
  <si>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</si>
  <si>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</si>
  <si>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</si>
  <si>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</si>
  <si>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</si>
  <si>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</si>
  <si>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</si>
  <si>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</si>
  <si>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</si>
  <si>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</si>
  <si>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</si>
  <si>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</si>
  <si>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</si>
  <si>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</si>
  <si>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</si>
  <si>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</si>
  <si>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</si>
  <si>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</si>
  <si>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</si>
  <si>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</si>
  <si>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</si>
  <si>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</si>
  <si>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</si>
  <si>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</si>
  <si>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</si>
  <si>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</si>
  <si>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</si>
  <si>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</si>
  <si>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</si>
  <si>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</si>
  <si>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</si>
  <si>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</si>
  <si>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</si>
  <si>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</si>
  <si>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</si>
  <si>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</si>
  <si>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</si>
  <si>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</si>
  <si>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</si>
  <si>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</si>
  <si>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</si>
  <si>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</si>
  <si>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</si>
  <si>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</si>
  <si>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</si>
  <si>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</si>
  <si>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</si>
  <si>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</si>
  <si>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</si>
  <si>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</si>
  <si>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</si>
  <si>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</si>
  <si>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</si>
  <si>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</si>
  <si>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</si>
  <si>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</si>
  <si>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</si>
  <si>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</si>
  <si>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</si>
  <si>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</si>
  <si>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</si>
  <si>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</si>
  <si>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</si>
  <si>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</si>
  <si>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</si>
  <si>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</si>
  <si>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</si>
  <si>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</si>
  <si>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</si>
  <si>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</si>
  <si>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</si>
  <si>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</si>
  <si>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</si>
  <si>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</si>
  <si>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</si>
  <si>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</si>
  <si>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</si>
  <si>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</si>
  <si>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</si>
  <si>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</si>
  <si>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</si>
  <si>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</si>
  <si>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</si>
  <si>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</si>
  <si>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</si>
  <si>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</si>
  <si>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</si>
  <si>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</si>
  <si>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</si>
  <si>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</si>
  <si>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</si>
  <si>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</si>
  <si>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</si>
  <si>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</si>
  <si>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</si>
  <si>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</si>
  <si>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</si>
  <si>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</si>
  <si>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</si>
  <si>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</si>
  <si>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</si>
  <si>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</si>
  <si>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</si>
  <si>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</si>
  <si>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</si>
  <si>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</si>
  <si>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</si>
  <si>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</si>
  <si>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</si>
  <si>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</si>
  <si>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</si>
  <si>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</si>
  <si>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</si>
  <si>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</si>
  <si>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</si>
  <si>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</si>
  <si>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</si>
  <si>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</si>
  <si>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</si>
  <si>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</si>
  <si>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</si>
  <si>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</si>
  <si>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</si>
  <si>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</si>
  <si>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</si>
  <si>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</si>
  <si>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</si>
  <si>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</si>
  <si>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</si>
  <si>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</si>
  <si>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</si>
  <si>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</si>
  <si>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</si>
  <si>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</si>
  <si>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</si>
  <si>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</si>
  <si>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</si>
  <si>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</si>
  <si>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</si>
  <si>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</si>
  <si>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</si>
  <si>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</si>
  <si>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</si>
  <si>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</si>
  <si>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</si>
  <si>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</si>
  <si>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</si>
  <si>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</si>
  <si>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</si>
  <si>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</si>
  <si>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</si>
  <si>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</si>
  <si>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</si>
  <si>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</si>
  <si>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</si>
  <si>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</si>
  <si>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</si>
  <si>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</si>
  <si>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</si>
  <si>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</si>
  <si>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</si>
  <si>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</si>
  <si>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</si>
  <si>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</si>
  <si>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</si>
  <si>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</si>
  <si>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</si>
  <si>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</si>
  <si>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</si>
  <si>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</si>
  <si>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</si>
  <si>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</si>
  <si>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</si>
  <si>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</si>
  <si>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</si>
  <si>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</si>
  <si>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</si>
  <si>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</si>
  <si>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</si>
  <si>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</si>
  <si>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</si>
  <si>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</si>
  <si>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</si>
  <si>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</si>
  <si>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</si>
  <si>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</si>
  <si>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</si>
  <si>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</si>
  <si>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</si>
  <si>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</si>
  <si>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</si>
  <si>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</si>
  <si>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</si>
  <si>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</si>
  <si>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</si>
  <si>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</si>
  <si>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</si>
  <si>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</si>
  <si>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</si>
  <si>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</si>
  <si>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</si>
  <si>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</si>
  <si>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</si>
  <si>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</si>
  <si>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</si>
  <si>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</si>
  <si>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</si>
  <si>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</si>
  <si>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</si>
  <si>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</si>
  <si>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</si>
  <si>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</si>
  <si>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</si>
  <si>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</si>
  <si>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</si>
  <si>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</si>
  <si>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</si>
  <si>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</si>
  <si>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</si>
  <si>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</si>
  <si>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</si>
  <si>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</si>
  <si>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</si>
  <si>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</si>
  <si>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</si>
  <si>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</si>
  <si>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</si>
  <si>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</si>
  <si>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</si>
  <si>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</si>
  <si>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</si>
  <si>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</si>
  <si>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</si>
  <si>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</si>
  <si>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</si>
  <si>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</si>
  <si>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</si>
  <si>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</si>
  <si>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</si>
  <si>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</si>
  <si>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</si>
  <si>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</si>
  <si>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</si>
  <si>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</si>
  <si>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</si>
  <si>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</si>
  <si>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</si>
  <si>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</si>
  <si>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</si>
  <si>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</si>
  <si>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</si>
  <si>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</si>
  <si>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</si>
  <si>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</si>
  <si>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</si>
  <si>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</si>
  <si>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</si>
  <si>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</si>
  <si>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</si>
  <si>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</si>
  <si>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</si>
  <si>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</si>
  <si>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</si>
  <si>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</si>
  <si>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</si>
  <si>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</si>
  <si>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</si>
  <si>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</si>
  <si>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</si>
  <si>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</si>
  <si>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</si>
  <si>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</si>
  <si>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</si>
  <si>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</si>
  <si>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</si>
  <si>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</si>
  <si>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</si>
  <si>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</si>
  <si>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</si>
  <si>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</si>
  <si>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</si>
  <si>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</si>
  <si>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</si>
  <si>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</si>
  <si>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</si>
  <si>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</si>
  <si>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</si>
  <si>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</si>
  <si>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</si>
  <si>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</si>
  <si>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</si>
  <si>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</si>
  <si>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</si>
  <si>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</si>
  <si>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</si>
  <si>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</si>
  <si>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</si>
  <si>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</si>
  <si>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</si>
  <si>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</si>
  <si>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</si>
  <si>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</si>
  <si>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</si>
  <si>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</si>
  <si>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</si>
  <si>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</si>
  <si>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</si>
  <si>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</si>
  <si>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</si>
  <si>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</si>
  <si>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</si>
  <si>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</si>
  <si>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</si>
  <si>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</si>
  <si>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</si>
  <si>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</si>
  <si>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</si>
  <si>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</si>
  <si>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</si>
  <si>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</si>
  <si>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</si>
  <si>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</si>
  <si>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</si>
  <si>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</si>
  <si>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</si>
  <si>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</si>
  <si>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</si>
  <si>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</si>
  <si>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</si>
  <si>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</si>
  <si>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</si>
  <si>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</si>
  <si>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</si>
  <si>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</si>
  <si>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</si>
  <si>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</si>
  <si>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</si>
  <si>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</si>
  <si>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</si>
  <si>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</si>
  <si>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</si>
  <si>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</si>
  <si>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</si>
  <si>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</si>
  <si>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</si>
  <si>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</si>
  <si>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</si>
  <si>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</si>
  <si>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</si>
  <si>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</si>
  <si>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</si>
  <si>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</si>
  <si>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</si>
  <si>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</si>
  <si>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</si>
  <si>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</si>
  <si>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</si>
  <si>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</si>
  <si>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</si>
  <si>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</si>
  <si>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</si>
  <si>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</si>
  <si>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</si>
  <si>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</si>
  <si>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</si>
  <si>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</si>
  <si>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</si>
  <si>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</si>
  <si>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</si>
  <si>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</si>
  <si>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</si>
  <si>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</si>
  <si>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</si>
  <si>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</si>
  <si>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</si>
  <si>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</si>
  <si>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</si>
  <si>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</si>
  <si>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</si>
  <si>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</si>
  <si>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</si>
  <si>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</si>
  <si>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</si>
  <si>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</si>
  <si>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</si>
  <si>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</si>
  <si>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</si>
  <si>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</si>
  <si>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</si>
  <si>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</si>
  <si>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</si>
  <si>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</si>
  <si>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</si>
  <si>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</si>
  <si>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</si>
  <si>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</si>
  <si>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</si>
  <si>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</si>
  <si>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</si>
  <si>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</si>
  <si>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</si>
  <si>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</si>
  <si>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</si>
  <si>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</si>
  <si>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</si>
  <si>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</si>
  <si>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</si>
  <si>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</si>
  <si>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</si>
  <si>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</si>
  <si>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</si>
  <si>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</si>
  <si>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</si>
  <si>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</si>
  <si>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</si>
  <si>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</si>
  <si>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</si>
  <si>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</si>
  <si>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</si>
  <si>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</si>
  <si>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</si>
  <si>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</si>
  <si>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</si>
  <si>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</si>
  <si>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</si>
  <si>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</si>
  <si>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</si>
  <si>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</si>
  <si>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</si>
  <si>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</si>
  <si>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</si>
  <si>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</si>
  <si>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</si>
  <si>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</si>
  <si>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</si>
  <si>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</si>
  <si>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</si>
  <si>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</si>
  <si>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</si>
  <si>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</si>
  <si>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</si>
  <si>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</si>
  <si>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</si>
  <si>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</si>
  <si>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</si>
  <si>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</si>
  <si>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</si>
  <si>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</si>
  <si>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</si>
  <si>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</si>
  <si>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</si>
  <si>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</si>
  <si>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</si>
  <si>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</si>
  <si>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</si>
  <si>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</si>
  <si>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</si>
  <si>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</si>
  <si>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</si>
  <si>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</si>
  <si>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</si>
  <si>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</si>
  <si>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</si>
  <si>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</si>
  <si>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</si>
  <si>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</si>
  <si>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</si>
  <si>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</si>
  <si>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</si>
  <si>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</si>
  <si>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</si>
  <si>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</si>
  <si>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</si>
  <si>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</si>
  <si>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</si>
  <si>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</si>
  <si>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</si>
  <si>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</si>
  <si>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</si>
  <si>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</si>
  <si>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</si>
  <si>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</si>
  <si>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</si>
  <si>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</si>
  <si>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</si>
  <si>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</si>
  <si>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</si>
  <si>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</si>
  <si>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</si>
  <si>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</si>
  <si>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</si>
  <si>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</si>
  <si>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</si>
  <si>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</si>
  <si>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</si>
  <si>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</si>
  <si>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</si>
  <si>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</si>
  <si>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</si>
  <si>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</si>
  <si>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</si>
  <si>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</si>
  <si>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</si>
  <si>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</si>
  <si>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</si>
  <si>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</si>
  <si>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</si>
  <si>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</si>
  <si>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</si>
  <si>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</si>
  <si>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</si>
  <si>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</si>
  <si>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</si>
  <si>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</si>
  <si>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</si>
  <si>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</si>
  <si>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</si>
  <si>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</si>
  <si>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</si>
  <si>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</si>
  <si>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</si>
  <si>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</si>
  <si>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</si>
  <si>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</si>
  <si>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</si>
  <si>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</si>
  <si>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</si>
  <si>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</si>
  <si>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</si>
  <si>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</si>
  <si>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</si>
  <si>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</si>
  <si>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</si>
  <si>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</si>
  <si>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</si>
  <si>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</si>
  <si>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</si>
  <si>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</si>
  <si>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</si>
  <si>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</si>
  <si>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</si>
  <si>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</si>
  <si>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</si>
  <si>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</si>
  <si>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</si>
  <si>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</si>
  <si>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</si>
  <si>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</si>
  <si>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</si>
  <si>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</si>
  <si>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</si>
  <si>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</si>
  <si>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</si>
  <si>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</si>
  <si>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</si>
  <si>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</si>
  <si>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</si>
  <si>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</si>
  <si>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</si>
  <si>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</si>
  <si>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</si>
  <si>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</si>
  <si>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</si>
  <si>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</si>
  <si>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</si>
  <si>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</si>
  <si>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</si>
  <si>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</si>
  <si>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</si>
  <si>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</si>
  <si>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</si>
  <si>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</si>
  <si>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</si>
  <si>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</si>
  <si>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</si>
  <si>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</si>
  <si>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</si>
  <si>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</si>
  <si>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</si>
  <si>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</si>
  <si>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</si>
  <si>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</si>
  <si>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</si>
  <si>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</si>
  <si>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</si>
  <si>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</si>
  <si>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</si>
  <si>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</si>
  <si>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</si>
  <si>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</si>
  <si>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</si>
  <si>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</si>
  <si>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</si>
  <si>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</si>
  <si>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</si>
  <si>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</si>
  <si>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</si>
  <si>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</si>
  <si>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</si>
  <si>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</si>
  <si>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</si>
  <si>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</si>
  <si>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</si>
  <si>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</si>
  <si>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</si>
  <si>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</si>
  <si>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</si>
  <si>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</si>
  <si>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</si>
  <si>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</si>
  <si>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</si>
  <si>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</si>
  <si>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</si>
  <si>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</si>
  <si>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</si>
  <si>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</si>
  <si>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</si>
  <si>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</si>
  <si>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</si>
  <si>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</si>
  <si>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</si>
  <si>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</si>
  <si>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</si>
  <si>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</si>
  <si>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</si>
  <si>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</si>
  <si>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</si>
  <si>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</si>
  <si>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</si>
  <si>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</si>
  <si>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</si>
  <si>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</si>
  <si>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</si>
  <si>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</si>
  <si>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</si>
  <si>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</si>
  <si>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</si>
  <si>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</si>
  <si>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</si>
  <si>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</si>
  <si>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</si>
  <si>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</si>
  <si>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</si>
  <si>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</si>
  <si>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</si>
  <si>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</si>
  <si>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</si>
  <si>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</si>
  <si>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</si>
  <si>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</si>
  <si>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</si>
  <si>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</si>
  <si>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</si>
  <si>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</si>
  <si>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</si>
  <si>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</si>
  <si>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</si>
  <si>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</si>
  <si>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</si>
  <si>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</si>
  <si>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</si>
  <si>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</si>
  <si>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</si>
  <si>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</si>
  <si>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</si>
  <si>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</si>
  <si>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</si>
  <si>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</si>
  <si>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</si>
  <si>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</si>
  <si>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</si>
  <si>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</si>
  <si>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</si>
  <si>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</si>
  <si>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</si>
  <si>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</si>
  <si>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</si>
  <si>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</si>
  <si>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</si>
  <si>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</si>
  <si>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</si>
  <si>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</si>
  <si>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</si>
  <si>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</si>
  <si>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</si>
  <si>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</si>
  <si>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</si>
  <si>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</si>
  <si>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</si>
  <si>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</si>
  <si>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</si>
  <si>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</si>
  <si>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</si>
  <si>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</si>
  <si>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</si>
  <si>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</si>
  <si>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</si>
  <si>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</si>
  <si>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</si>
  <si>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</si>
  <si>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</si>
  <si>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</si>
  <si>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</si>
  <si>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</si>
  <si>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</si>
  <si>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</si>
  <si>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</si>
  <si>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</si>
  <si>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</si>
  <si>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</si>
  <si>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</si>
  <si>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</si>
  <si>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</si>
  <si>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</si>
  <si>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</si>
  <si>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</si>
  <si>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</si>
  <si>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</si>
  <si>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</si>
  <si>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</si>
  <si>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</si>
  <si>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</si>
  <si>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</si>
  <si>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</si>
  <si>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</si>
  <si>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</si>
  <si>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</si>
  <si>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</si>
  <si>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</si>
  <si>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</si>
  <si>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</si>
  <si>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</si>
  <si>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</si>
  <si>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</si>
  <si>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</si>
  <si>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</si>
  <si>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</si>
  <si>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</si>
  <si>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</si>
  <si>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</si>
  <si>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</si>
  <si>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</si>
  <si>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</si>
  <si>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</si>
  <si>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</si>
  <si>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</si>
  <si>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</si>
  <si>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</si>
  <si>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</si>
  <si>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</si>
  <si>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</si>
  <si>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</si>
  <si>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</si>
  <si>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</si>
  <si>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</si>
  <si>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</si>
  <si>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</si>
  <si>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</si>
  <si>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</si>
  <si>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</si>
  <si>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</si>
  <si>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</si>
  <si>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</si>
  <si>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</si>
  <si>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</si>
  <si>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</si>
  <si>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</si>
  <si>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</si>
  <si>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</si>
  <si>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</si>
  <si>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</si>
  <si>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</si>
  <si>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</si>
  <si>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</si>
  <si>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</si>
  <si>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</si>
  <si>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</si>
  <si>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</si>
  <si>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</si>
  <si>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</si>
  <si>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</si>
  <si>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</si>
  <si>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</si>
  <si>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</si>
  <si>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</si>
  <si>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</si>
  <si>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</si>
  <si>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</si>
  <si>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</si>
  <si>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</si>
  <si>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</si>
  <si>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</si>
  <si>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</si>
  <si>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</si>
  <si>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</si>
  <si>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</si>
  <si>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</si>
  <si>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</si>
  <si>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</si>
  <si>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</si>
  <si>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</si>
  <si>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</si>
  <si>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</si>
  <si>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</si>
  <si>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</si>
  <si>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</si>
  <si>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</si>
  <si>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</si>
  <si>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</si>
  <si>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</si>
  <si>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</si>
  <si>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</si>
  <si>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</si>
  <si>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</si>
  <si>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</si>
  <si>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</si>
  <si>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</si>
  <si>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</si>
  <si>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</si>
  <si>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</si>
  <si>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</si>
  <si>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</si>
  <si>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</si>
  <si>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</si>
  <si>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</si>
  <si>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</si>
  <si>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</si>
  <si>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</si>
  <si>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</si>
  <si>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</si>
  <si>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</si>
  <si>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</si>
  <si>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</si>
  <si>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</si>
  <si>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</si>
  <si>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</si>
  <si>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</si>
  <si>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</si>
  <si>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</si>
  <si>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</si>
  <si>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</si>
  <si>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</si>
  <si>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</si>
  <si>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</si>
  <si>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</si>
  <si>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</si>
  <si>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</si>
  <si>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</si>
  <si>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</si>
  <si>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</si>
  <si>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</si>
  <si>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</si>
  <si>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</si>
  <si>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</si>
  <si>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</si>
  <si>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</si>
  <si>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</si>
  <si>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</si>
  <si>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</si>
  <si>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</si>
  <si>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</si>
  <si>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</si>
  <si>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</si>
  <si>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</si>
  <si>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</si>
  <si>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</si>
  <si>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</si>
  <si>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</si>
  <si>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</si>
  <si>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</si>
  <si>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</si>
  <si>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</si>
  <si>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</si>
  <si>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</si>
  <si>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</si>
  <si>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</si>
  <si>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</si>
  <si>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</si>
  <si>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</si>
  <si>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</si>
  <si>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</si>
  <si>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</si>
  <si>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</si>
  <si>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</si>
  <si>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</si>
  <si>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</si>
  <si>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</si>
  <si>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</si>
  <si>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</si>
  <si>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</si>
  <si>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</si>
  <si>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</si>
  <si>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</si>
  <si>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</si>
  <si>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</si>
  <si>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</si>
  <si>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</si>
  <si>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</si>
  <si>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</si>
  <si>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</si>
  <si>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</si>
  <si>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</si>
  <si>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</si>
  <si>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</si>
  <si>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</si>
  <si>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</si>
  <si>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</si>
  <si>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</si>
  <si>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</si>
  <si>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</si>
  <si>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</si>
  <si>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</si>
  <si>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</si>
  <si>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</si>
  <si>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</si>
  <si>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</si>
  <si>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</si>
  <si>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</si>
  <si>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</si>
  <si>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</si>
  <si>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</si>
  <si>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</si>
  <si>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</si>
  <si>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</si>
  <si>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</si>
  <si>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</si>
  <si>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</si>
  <si>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</si>
  <si>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</si>
  <si>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</si>
  <si>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</si>
  <si>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</si>
  <si>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</si>
  <si>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</si>
  <si>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</si>
  <si>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</si>
  <si>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</si>
  <si>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</si>
  <si>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</si>
  <si>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</si>
  <si>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</si>
  <si>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</si>
  <si>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</si>
  <si>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</si>
  <si>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</si>
  <si>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</si>
  <si>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</si>
  <si>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</si>
  <si>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</si>
  <si>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</si>
  <si>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</si>
  <si>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</si>
  <si>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</si>
  <si>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</si>
  <si>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</si>
  <si>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</si>
  <si>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</si>
  <si>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</si>
  <si>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</si>
  <si>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</si>
  <si>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</si>
  <si>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</si>
  <si>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</si>
  <si>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</si>
  <si>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</si>
  <si>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</si>
  <si>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</si>
  <si>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</si>
  <si>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</si>
  <si>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</si>
  <si>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</si>
  <si>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</si>
  <si>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</si>
  <si>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</si>
  <si>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</si>
  <si>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</si>
  <si>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</si>
  <si>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</si>
  <si>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</si>
  <si>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</si>
  <si>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</si>
  <si>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</si>
  <si>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</si>
  <si>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</si>
  <si>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</si>
  <si>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</si>
  <si>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</si>
  <si>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</si>
  <si>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</si>
  <si>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</si>
  <si>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</si>
  <si>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</si>
  <si>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</si>
  <si>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</si>
  <si>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</si>
  <si>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</si>
  <si>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</si>
  <si>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</si>
  <si>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</si>
  <si>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</si>
  <si>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</si>
  <si>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</si>
  <si>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</si>
  <si>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</si>
  <si>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</si>
  <si>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</si>
  <si>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</si>
  <si>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</si>
  <si>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</si>
  <si>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</si>
  <si>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</si>
  <si>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</si>
  <si>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</si>
  <si>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</si>
  <si>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</si>
  <si>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</si>
  <si>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</si>
  <si>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</si>
  <si>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</si>
  <si>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</si>
  <si>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</si>
  <si>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</si>
  <si>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</si>
  <si>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</si>
  <si>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</si>
  <si>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</si>
  <si>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</si>
  <si>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</si>
  <si>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</si>
  <si>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</si>
  <si>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</si>
  <si>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</si>
  <si>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</si>
  <si>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</si>
  <si>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</si>
  <si>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</si>
  <si>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</si>
  <si>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</si>
  <si>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</si>
  <si>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</si>
  <si>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</si>
  <si>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</si>
  <si>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</si>
  <si>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</si>
  <si>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</si>
  <si>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</si>
  <si>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</si>
  <si>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</si>
  <si>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</si>
  <si>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</si>
  <si>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</si>
  <si>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</si>
  <si>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</si>
  <si>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</si>
  <si>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</si>
  <si>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</si>
  <si>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</si>
  <si>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</si>
  <si>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</si>
  <si>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</si>
  <si>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</si>
  <si>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</si>
  <si>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</si>
  <si>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</si>
  <si>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</si>
  <si>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</si>
  <si>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</si>
  <si>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</si>
  <si>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</si>
  <si>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</si>
  <si>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</si>
  <si>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</si>
  <si>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</si>
  <si>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</si>
  <si>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</si>
  <si>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</si>
  <si>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</si>
  <si>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</si>
  <si>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</si>
  <si>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</si>
  <si>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</si>
  <si>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</si>
  <si>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</si>
  <si>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</si>
  <si>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</si>
  <si>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</si>
  <si>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</si>
  <si>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</si>
  <si>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</si>
  <si>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</si>
  <si>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</si>
  <si>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</si>
  <si>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</si>
  <si>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</si>
  <si>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</si>
  <si>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</si>
  <si>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</si>
  <si>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</si>
  <si>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</si>
  <si>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</si>
  <si>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</si>
  <si>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</si>
  <si>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</si>
  <si>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</si>
  <si>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</si>
  <si>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</si>
  <si>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</si>
  <si>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</si>
  <si>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</si>
  <si>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</si>
  <si>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</si>
  <si>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</si>
  <si>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</si>
  <si>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</si>
  <si>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</si>
  <si>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</si>
  <si>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</si>
  <si>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</si>
  <si>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</si>
  <si>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</si>
  <si>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</si>
  <si>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</si>
  <si>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</si>
  <si>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</si>
  <si>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</si>
  <si>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</si>
  <si>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</si>
  <si>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</si>
  <si>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</si>
  <si>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</si>
  <si>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</si>
  <si>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</si>
  <si>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</si>
  <si>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</si>
  <si>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</si>
  <si>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</si>
  <si>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</si>
  <si>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</si>
  <si>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</si>
  <si>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</si>
  <si>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</si>
  <si>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</si>
  <si>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</si>
  <si>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</si>
  <si>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</si>
  <si>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</si>
  <si>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</si>
  <si>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</si>
  <si>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</si>
  <si>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</si>
  <si>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</si>
  <si>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</si>
  <si>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</si>
  <si>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</si>
  <si>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</si>
  <si>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</si>
  <si>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</si>
  <si>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</si>
  <si>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</si>
  <si>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</si>
  <si>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</si>
  <si>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</si>
  <si>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</si>
  <si>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</si>
  <si>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</si>
  <si>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</si>
  <si>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</si>
  <si>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</si>
  <si>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</si>
  <si>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</si>
  <si>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</si>
  <si>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</si>
  <si>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</si>
  <si>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</si>
  <si>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</si>
  <si>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</si>
  <si>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</si>
  <si>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</si>
  <si>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</si>
  <si>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</si>
  <si>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</si>
  <si>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</si>
  <si>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</si>
  <si>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</si>
  <si>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</si>
  <si>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</si>
  <si>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</si>
  <si>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</si>
  <si>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</si>
  <si>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</si>
  <si>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</si>
  <si>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</si>
  <si>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</si>
  <si>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</si>
  <si>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</si>
  <si>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</si>
  <si>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</si>
  <si>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</si>
  <si>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</si>
  <si>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</si>
  <si>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</si>
  <si>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</si>
  <si>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</si>
  <si>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</si>
  <si>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</si>
  <si>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</si>
  <si>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</si>
  <si>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</si>
  <si>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</si>
  <si>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</si>
  <si>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</si>
  <si>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</si>
  <si>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</si>
  <si>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</si>
  <si>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</si>
  <si>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</si>
  <si>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</si>
  <si>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</si>
  <si>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</si>
  <si>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</si>
  <si>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</si>
  <si>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</si>
  <si>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</si>
  <si>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</si>
  <si>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</si>
  <si>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</si>
  <si>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</si>
  <si>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</si>
  <si>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</si>
  <si>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</si>
  <si>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</si>
  <si>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</si>
  <si>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</si>
  <si>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</si>
  <si>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</si>
  <si>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</si>
  <si>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</si>
  <si>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</si>
  <si>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</si>
  <si>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</si>
  <si>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</si>
  <si>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</si>
  <si>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</si>
  <si>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</si>
  <si>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</si>
  <si>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</si>
  <si>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</si>
  <si>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</si>
  <si>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</si>
  <si>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</si>
  <si>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</si>
  <si>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</si>
  <si>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</si>
  <si>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</si>
  <si>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</si>
  <si>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</si>
  <si>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</si>
  <si>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</si>
  <si>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</si>
  <si>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</si>
  <si>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</si>
  <si>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</si>
  <si>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</si>
  <si>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</si>
  <si>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</si>
  <si>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</si>
  <si>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</si>
  <si>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</si>
  <si>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</si>
  <si>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</si>
  <si>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</si>
  <si>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</si>
  <si>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</si>
  <si>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</si>
  <si>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</si>
  <si>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</si>
  <si>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</si>
  <si>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</si>
  <si>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</si>
  <si>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</si>
  <si>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</si>
  <si>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</si>
  <si>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</si>
  <si>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</si>
  <si>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</si>
  <si>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</si>
  <si>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</si>
  <si>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</si>
  <si>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</si>
  <si>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</si>
  <si>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</si>
  <si>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</si>
  <si>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</si>
  <si>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</si>
  <si>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</si>
  <si>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</si>
  <si>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</si>
  <si>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</si>
  <si>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</si>
  <si>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</si>
  <si>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</si>
  <si>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</si>
  <si>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</si>
  <si>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</si>
  <si>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</si>
  <si>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</si>
  <si>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</si>
  <si>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</si>
  <si>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</si>
  <si>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</si>
  <si>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</si>
  <si>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</si>
  <si>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</si>
  <si>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</si>
  <si>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</si>
  <si>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</si>
  <si>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</si>
  <si>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</si>
  <si>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</si>
  <si>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</si>
  <si>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</si>
  <si>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</si>
  <si>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</si>
  <si>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</si>
  <si>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</si>
  <si>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</si>
  <si>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</si>
  <si>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</si>
  <si>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</si>
  <si>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</si>
  <si>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</si>
  <si>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</si>
  <si>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</si>
  <si>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</si>
  <si>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</si>
  <si>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</si>
  <si>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</si>
  <si>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</si>
  <si>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</si>
  <si>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</si>
  <si>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</si>
  <si>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</si>
  <si>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</si>
  <si>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</si>
  <si>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</si>
  <si>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</si>
  <si>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</si>
  <si>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</si>
  <si>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</si>
  <si>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</si>
  <si>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</si>
  <si>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</si>
  <si>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</si>
  <si>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</si>
  <si>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</si>
  <si>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</si>
  <si>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</si>
  <si>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</si>
  <si>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</si>
  <si>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</si>
  <si>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</si>
  <si>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</si>
  <si>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</si>
  <si>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</si>
  <si>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</si>
  <si>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</si>
  <si>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</si>
  <si>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</si>
  <si>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</si>
  <si>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</si>
  <si>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</si>
  <si>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</si>
  <si>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</si>
  <si>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</si>
  <si>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</si>
  <si>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</si>
  <si>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</si>
  <si>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</si>
  <si>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</si>
  <si>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</si>
  <si>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</si>
  <si>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</si>
  <si>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</si>
  <si>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</si>
  <si>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</si>
  <si>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</si>
  <si>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</si>
  <si>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</si>
  <si>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</si>
  <si>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</si>
  <si>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</si>
  <si>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</si>
  <si>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</si>
  <si>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</si>
  <si>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</si>
  <si>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</si>
  <si>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</si>
  <si>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</si>
  <si>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</si>
  <si>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</si>
  <si>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</si>
  <si>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</si>
  <si>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</si>
  <si>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</si>
  <si>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</si>
  <si>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</si>
  <si>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</si>
  <si>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</si>
  <si>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</si>
  <si>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</si>
  <si>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</si>
  <si>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</si>
  <si>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</si>
  <si>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</si>
  <si>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</si>
  <si>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</si>
  <si>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</si>
  <si>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</si>
  <si>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</si>
  <si>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</si>
  <si>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</si>
  <si>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</si>
  <si>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</si>
  <si>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</si>
  <si>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</si>
  <si>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</si>
  <si>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</si>
  <si>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</si>
  <si>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</si>
  <si>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</si>
  <si>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</si>
  <si>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</si>
  <si>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</si>
  <si>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</si>
  <si>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</si>
  <si>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</si>
  <si>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</si>
  <si>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</si>
  <si>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</si>
  <si>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</si>
  <si>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</si>
  <si>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</si>
  <si>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</si>
  <si>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</si>
  <si>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</si>
  <si>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</si>
  <si>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</si>
  <si>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</si>
  <si>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</si>
  <si>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</si>
  <si>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</si>
  <si>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</si>
  <si>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</si>
  <si>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</si>
  <si>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</si>
  <si>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</si>
  <si>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</si>
  <si>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</si>
  <si>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</si>
  <si>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</si>
  <si>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</si>
  <si>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</si>
  <si>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</si>
  <si>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</si>
  <si>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</si>
  <si>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</si>
  <si>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</si>
  <si>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</si>
  <si>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</si>
  <si>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</si>
  <si>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</si>
  <si>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</si>
  <si>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</si>
  <si>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</si>
  <si>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</si>
  <si>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</si>
  <si>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</si>
  <si>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</si>
  <si>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</si>
  <si>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</si>
  <si>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</si>
  <si>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</si>
  <si>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</si>
  <si>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</si>
  <si>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</si>
  <si>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</si>
  <si>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</si>
  <si>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</si>
  <si>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</si>
  <si>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</si>
  <si>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</si>
  <si>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</si>
  <si>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</si>
  <si>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</si>
  <si>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</si>
  <si>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</si>
  <si>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</si>
  <si>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</si>
  <si>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</si>
  <si>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</si>
  <si>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</si>
  <si>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</si>
  <si>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</si>
  <si>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</si>
  <si>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</si>
  <si>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</si>
  <si>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</si>
  <si>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</si>
  <si>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</si>
  <si>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</si>
  <si>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</si>
  <si>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</si>
  <si>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</si>
  <si>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</si>
  <si>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</si>
  <si>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</si>
  <si>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</si>
  <si>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</si>
  <si>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</si>
  <si>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</si>
  <si>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</si>
  <si>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</si>
  <si>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</si>
  <si>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</si>
  <si>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</si>
  <si>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</si>
  <si>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</si>
  <si>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</si>
  <si>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</si>
  <si>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</si>
  <si>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</si>
  <si>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</si>
  <si>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</si>
  <si>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</si>
  <si>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</si>
  <si>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</si>
  <si>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</si>
  <si>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</si>
  <si>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</si>
  <si>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</si>
  <si>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</si>
  <si>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</si>
  <si>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</si>
  <si>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</si>
  <si>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</si>
  <si>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</si>
  <si>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</si>
  <si>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</si>
  <si>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</si>
  <si>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</si>
  <si>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</si>
  <si>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</si>
  <si>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</si>
  <si>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</si>
  <si>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</si>
  <si>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</si>
  <si>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</si>
  <si>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</si>
  <si>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</si>
  <si>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</si>
  <si>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</si>
  <si>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</si>
  <si>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</si>
  <si>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</si>
  <si>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</si>
  <si>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</si>
  <si>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</si>
  <si>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</si>
  <si>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</si>
  <si>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</si>
  <si>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</si>
  <si>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</si>
  <si>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</si>
  <si>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</si>
  <si>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</si>
  <si>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</si>
  <si>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</si>
  <si>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</si>
  <si>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</si>
  <si>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</si>
  <si>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</si>
  <si>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</si>
  <si>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</si>
  <si>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</si>
  <si>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</si>
  <si>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</si>
  <si>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</si>
  <si>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</si>
  <si>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</si>
  <si>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</si>
  <si>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</si>
  <si>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</si>
  <si>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</si>
  <si>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</si>
  <si>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</si>
  <si>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</si>
  <si>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</si>
  <si>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</si>
  <si>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</si>
  <si>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</si>
  <si>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</si>
  <si>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</si>
  <si>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</si>
  <si>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</si>
  <si>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</si>
  <si>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</si>
  <si>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</si>
  <si>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</si>
  <si>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</si>
  <si>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</si>
  <si>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</si>
  <si>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</si>
  <si>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</si>
  <si>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</si>
  <si>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</si>
  <si>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</si>
  <si>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</si>
  <si>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</si>
  <si>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</si>
  <si>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</si>
  <si>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</si>
  <si>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</si>
  <si>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</si>
  <si>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</si>
  <si>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</si>
  <si>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</si>
  <si>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</si>
  <si>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</si>
  <si>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</si>
  <si>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</si>
  <si>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</si>
  <si>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</si>
  <si>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</si>
  <si>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</si>
  <si>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</si>
  <si>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</si>
  <si>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</si>
  <si>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</si>
  <si>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</si>
  <si>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</si>
  <si>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</si>
  <si>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</si>
  <si>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</si>
  <si>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</si>
  <si>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</si>
  <si>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</si>
  <si>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</si>
  <si>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</si>
  <si>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</si>
  <si>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</si>
  <si>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</si>
  <si>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</si>
  <si>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</si>
  <si>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</si>
  <si>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</si>
  <si>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</si>
  <si>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</si>
  <si>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</si>
  <si>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</si>
  <si>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</si>
  <si>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</si>
  <si>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</si>
  <si>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</si>
  <si>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</si>
  <si>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</si>
  <si>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</si>
  <si>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</si>
  <si>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</si>
  <si>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</si>
  <si>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</si>
  <si>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</si>
  <si>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</si>
  <si>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</si>
  <si>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</si>
  <si>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</si>
  <si>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</si>
  <si>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</si>
  <si>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</si>
  <si>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</si>
  <si>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</si>
  <si>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</si>
  <si>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</si>
  <si>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</si>
  <si>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</si>
  <si>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</si>
  <si>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</si>
  <si>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</si>
  <si>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</si>
  <si>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</si>
  <si>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</si>
  <si>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</si>
  <si>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</si>
  <si>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</si>
  <si>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</si>
  <si>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</si>
  <si>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</si>
  <si>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</si>
  <si>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</si>
  <si>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</si>
  <si>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</si>
  <si>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</si>
  <si>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</si>
  <si>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</si>
  <si>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</si>
  <si>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</si>
  <si>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</si>
  <si>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</si>
  <si>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</si>
  <si>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</si>
  <si>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</si>
  <si>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</si>
  <si>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</si>
  <si>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</si>
  <si>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</si>
  <si>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</si>
  <si>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</si>
  <si>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</si>
  <si>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</si>
  <si>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</si>
  <si>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</si>
  <si>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</si>
  <si>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</si>
  <si>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</si>
  <si>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</si>
  <si>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</si>
  <si>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</si>
  <si>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</si>
  <si>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</si>
  <si>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</si>
  <si>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</si>
  <si>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</si>
  <si>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</si>
  <si>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</si>
  <si>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</si>
  <si>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</si>
  <si>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</si>
  <si>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</si>
  <si>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</si>
  <si>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</si>
  <si>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</si>
  <si>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</si>
  <si>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</si>
  <si>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</si>
  <si>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</si>
  <si>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</si>
  <si>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</si>
  <si>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</si>
  <si>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</si>
  <si>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</si>
  <si>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</si>
  <si>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</si>
  <si>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</si>
  <si>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</si>
  <si>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</si>
  <si>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</si>
  <si>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</si>
  <si>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</si>
  <si>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</si>
  <si>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</si>
  <si>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</si>
  <si>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</si>
  <si>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</si>
  <si>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</si>
  <si>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</si>
  <si>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</si>
  <si>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</si>
  <si>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</si>
  <si>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</si>
  <si>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</si>
  <si>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</si>
  <si>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</si>
  <si>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</si>
  <si>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</si>
  <si>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</si>
  <si>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</si>
  <si>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</si>
  <si>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</si>
  <si>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</si>
  <si>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</si>
  <si>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</si>
  <si>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</si>
  <si>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</si>
  <si>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</si>
  <si>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</si>
  <si>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</si>
  <si>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</si>
  <si>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</si>
  <si>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</si>
  <si>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</si>
  <si>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</si>
  <si>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</si>
  <si>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</si>
  <si>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</si>
  <si>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</si>
  <si>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</si>
  <si>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</si>
  <si>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</si>
  <si>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</si>
  <si>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</si>
  <si>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</si>
  <si>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</si>
  <si>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</si>
  <si>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</si>
  <si>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</si>
  <si>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</si>
  <si>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</si>
  <si>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</si>
  <si>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</si>
  <si>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</si>
  <si>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</si>
  <si>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</si>
  <si>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</si>
  <si>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</si>
  <si>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</si>
  <si>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</si>
  <si>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</si>
  <si>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</si>
  <si>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</si>
  <si>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</si>
  <si>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</si>
  <si>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</si>
  <si>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</si>
  <si>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</si>
  <si>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</si>
  <si>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</si>
  <si>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</si>
  <si>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</si>
  <si>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</si>
  <si>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</si>
  <si>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</si>
  <si>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</si>
  <si>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</si>
  <si>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</si>
  <si>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</si>
  <si>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</si>
  <si>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</si>
  <si>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</si>
  <si>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</si>
  <si>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</si>
  <si>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</si>
  <si>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</si>
  <si>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</si>
  <si>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</si>
  <si>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</si>
  <si>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</si>
  <si>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</si>
  <si>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</si>
  <si>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</si>
  <si>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</si>
  <si>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</si>
  <si>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</si>
  <si>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</si>
  <si>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</si>
  <si>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</si>
  <si>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</si>
  <si>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</si>
  <si>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</si>
  <si>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</si>
  <si>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</si>
  <si>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</si>
  <si>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</si>
  <si>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</si>
  <si>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</si>
  <si>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</si>
  <si>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</si>
  <si>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</si>
  <si>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</si>
  <si>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</si>
  <si>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</si>
  <si>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</si>
  <si>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</si>
  <si>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</si>
  <si>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</si>
  <si>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</si>
  <si>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</si>
  <si>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</si>
  <si>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</si>
  <si>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</si>
  <si>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</si>
  <si>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</si>
  <si>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</si>
  <si>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</si>
  <si>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</si>
  <si>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</si>
  <si>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</si>
  <si>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</si>
  <si>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</si>
  <si>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</si>
  <si>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</si>
  <si>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</si>
  <si>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</si>
  <si>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</si>
  <si>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</si>
  <si>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</si>
  <si>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</si>
  <si>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</si>
  <si>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</si>
  <si>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</si>
  <si>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</si>
  <si>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</si>
  <si>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</si>
  <si>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</si>
  <si>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</si>
  <si>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</si>
  <si>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</si>
  <si>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</si>
  <si>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</si>
  <si>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</si>
  <si>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</si>
  <si>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</si>
  <si>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</si>
  <si>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</si>
  <si>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</si>
  <si>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</si>
  <si>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</si>
  <si>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</si>
  <si>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</si>
  <si>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</si>
  <si>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</si>
  <si>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</si>
  <si>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</si>
  <si>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</si>
  <si>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</si>
  <si>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</si>
  <si>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</si>
  <si>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</si>
  <si>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</si>
  <si>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</si>
  <si>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</si>
  <si>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</si>
  <si>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</si>
  <si>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</si>
  <si>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</si>
  <si>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</si>
  <si>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</si>
  <si>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</si>
  <si>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</si>
  <si>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</si>
  <si>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</si>
  <si>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</si>
  <si>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</si>
  <si>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</si>
  <si>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</si>
  <si>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</si>
  <si>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</si>
  <si>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</si>
  <si>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</si>
  <si>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</si>
  <si>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</si>
  <si>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</si>
  <si>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</si>
  <si>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</si>
  <si>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</si>
  <si>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</si>
  <si>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</si>
  <si>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</si>
  <si>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</si>
  <si>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</si>
  <si>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</si>
  <si>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</si>
  <si>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</si>
  <si>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</si>
  <si>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</si>
  <si>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</si>
  <si>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</si>
  <si>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</si>
  <si>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</si>
  <si>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</si>
  <si>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</si>
  <si>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</si>
  <si>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</si>
  <si>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</si>
  <si>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</si>
  <si>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</si>
  <si>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</si>
  <si>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</si>
  <si>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</si>
  <si>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</si>
  <si>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</si>
  <si>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</si>
  <si>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</si>
  <si>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</si>
  <si>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</si>
  <si>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</si>
  <si>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</si>
  <si>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</si>
  <si>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</si>
  <si>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</si>
  <si>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</si>
  <si>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</si>
  <si>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</si>
  <si>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</si>
  <si>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</si>
  <si>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</si>
  <si>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</si>
  <si>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</si>
  <si>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</si>
  <si>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</si>
  <si>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</si>
  <si>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</si>
  <si>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</si>
  <si>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</si>
  <si>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</si>
  <si>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</si>
  <si>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</si>
  <si>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</si>
  <si>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</si>
  <si>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</si>
  <si>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</si>
  <si>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</si>
  <si>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</si>
  <si>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</si>
  <si>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</si>
  <si>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</si>
  <si>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</si>
  <si>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</si>
  <si>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</si>
  <si>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</si>
  <si>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</si>
  <si>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</si>
  <si>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</si>
  <si>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</si>
  <si>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</si>
  <si>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</si>
  <si>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</si>
  <si>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</si>
  <si>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</si>
  <si>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</si>
  <si>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</si>
  <si>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</si>
  <si>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</si>
  <si>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</si>
  <si>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</si>
  <si>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</si>
  <si>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</si>
  <si>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</si>
  <si>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</si>
  <si>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</si>
  <si>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</si>
  <si>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</si>
  <si>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</si>
  <si>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</si>
  <si>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</si>
  <si>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</si>
  <si>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</si>
  <si>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</si>
  <si>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</si>
  <si>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</si>
  <si>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</si>
  <si>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</si>
  <si>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</si>
  <si>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</si>
  <si>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</si>
  <si>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</si>
  <si>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</si>
  <si>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</si>
  <si>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</si>
  <si>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</si>
  <si>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</si>
  <si>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</si>
  <si>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</si>
  <si>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</si>
  <si>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</si>
  <si>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</si>
  <si>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</si>
  <si>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</si>
  <si>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</si>
  <si>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</si>
  <si>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</si>
  <si>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</si>
  <si>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</si>
  <si>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</si>
  <si>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</si>
  <si>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</si>
  <si>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</si>
  <si>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</si>
  <si>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</si>
  <si>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</si>
  <si>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</si>
  <si>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</si>
  <si>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</si>
  <si>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</si>
  <si>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</si>
  <si>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</si>
  <si>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</si>
  <si>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</si>
  <si>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</si>
  <si>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</si>
  <si>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</si>
  <si>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</si>
  <si>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</si>
  <si>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</si>
  <si>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</si>
  <si>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</si>
  <si>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</si>
  <si>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</si>
  <si>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</si>
  <si>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</si>
  <si>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</si>
  <si>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</si>
  <si>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</si>
  <si>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</si>
  <si>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</si>
  <si>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</si>
  <si>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</si>
  <si>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</si>
  <si>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</si>
  <si>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</si>
  <si>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</si>
  <si>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</si>
  <si>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</si>
  <si>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</si>
  <si>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</si>
  <si>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</si>
  <si>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</si>
  <si>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</si>
  <si>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</si>
  <si>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</si>
  <si>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</si>
  <si>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</si>
  <si>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</si>
  <si>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</si>
  <si>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</si>
  <si>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</si>
  <si>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</si>
  <si>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</si>
  <si>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</si>
  <si>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</si>
  <si>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</si>
  <si>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</si>
  <si>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</si>
  <si>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</si>
  <si>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</si>
  <si>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</si>
  <si>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</si>
  <si>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</si>
  <si>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</si>
  <si>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</si>
  <si>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</si>
  <si>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</si>
  <si>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</si>
  <si>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</si>
  <si>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</si>
  <si>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</si>
  <si>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</si>
  <si>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</si>
  <si>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</si>
  <si>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</si>
  <si>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</si>
  <si>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</si>
  <si>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</si>
  <si>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</si>
  <si>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</si>
  <si>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</si>
  <si>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</si>
  <si>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</si>
  <si>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</si>
  <si>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</si>
  <si>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</si>
  <si>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</si>
  <si>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</si>
  <si>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</si>
  <si>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</si>
  <si>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</si>
  <si>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</si>
  <si>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</si>
  <si>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</si>
  <si>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</si>
  <si>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</si>
  <si>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</si>
  <si>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</si>
  <si>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</si>
  <si>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</si>
  <si>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</si>
  <si>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</si>
  <si>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</si>
  <si>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</si>
  <si>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</si>
  <si>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</si>
  <si>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</si>
  <si>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</si>
  <si>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</si>
  <si>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</si>
  <si>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</si>
  <si>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</si>
  <si>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</si>
  <si>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</si>
  <si>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</si>
  <si>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</si>
  <si>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</si>
  <si>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</si>
  <si>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</si>
  <si>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</si>
  <si>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</si>
  <si>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</si>
  <si>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</si>
  <si>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</si>
  <si>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</si>
  <si>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</si>
  <si>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</si>
  <si>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</si>
  <si>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</si>
  <si>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</si>
  <si>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</si>
  <si>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</si>
  <si>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</si>
  <si>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</si>
  <si>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</si>
  <si>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</si>
  <si>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</si>
  <si>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</si>
  <si>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</si>
  <si>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</si>
  <si>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</si>
  <si>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</si>
  <si>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</si>
  <si>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</si>
  <si>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</si>
  <si>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</si>
  <si>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</si>
  <si>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</si>
  <si>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</si>
  <si>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</si>
  <si>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</si>
  <si>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</si>
  <si>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</si>
  <si>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</si>
  <si>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</si>
  <si>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</si>
  <si>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</si>
  <si>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</si>
  <si>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</si>
  <si>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</si>
  <si>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</si>
  <si>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</si>
  <si>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</si>
  <si>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</si>
  <si>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</si>
  <si>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</si>
  <si>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</si>
  <si>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</si>
  <si>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</si>
  <si>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</si>
  <si>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</si>
  <si>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</si>
  <si>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</si>
  <si>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</si>
  <si>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</si>
  <si>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</si>
  <si>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</si>
  <si>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</si>
  <si>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</si>
  <si>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</si>
  <si>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</si>
  <si>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</si>
  <si>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</si>
  <si>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</si>
  <si>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</si>
  <si>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</si>
  <si>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</si>
  <si>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</si>
  <si>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</si>
  <si>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</si>
  <si>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</si>
  <si>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</si>
  <si>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</si>
  <si>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</si>
  <si>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</si>
  <si>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</si>
  <si>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</si>
  <si>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</si>
  <si>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</si>
  <si>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</si>
  <si>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</si>
  <si>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</si>
  <si>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</si>
  <si>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</si>
  <si>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</si>
  <si>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</si>
  <si>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</si>
  <si>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</si>
  <si>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</si>
  <si>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</si>
  <si>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</si>
  <si>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</si>
  <si>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</si>
  <si>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</si>
  <si>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</si>
  <si>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</si>
  <si>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</si>
  <si>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</si>
  <si>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</si>
  <si>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</si>
  <si>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</si>
  <si>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</si>
  <si>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</si>
  <si>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</si>
  <si>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</si>
  <si>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</si>
  <si>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</si>
  <si>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</si>
  <si>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</si>
  <si>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</si>
  <si>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</si>
  <si>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</si>
  <si>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</si>
  <si>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</si>
  <si>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</si>
  <si>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</si>
  <si>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</si>
  <si>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</si>
  <si>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</si>
  <si>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</si>
  <si>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</si>
  <si>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</si>
  <si>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</si>
  <si>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</si>
  <si>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</si>
  <si>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</si>
  <si>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</si>
  <si>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</si>
  <si>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</si>
  <si>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</si>
  <si>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</si>
  <si>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</si>
  <si>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</si>
  <si>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</si>
  <si>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</si>
  <si>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</si>
  <si>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</si>
  <si>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</si>
  <si>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</si>
  <si>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</si>
  <si>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</si>
  <si>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</si>
  <si>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</si>
  <si>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</si>
  <si>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</si>
  <si>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</si>
  <si>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</si>
  <si>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</si>
  <si>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</si>
  <si>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</si>
  <si>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</si>
  <si>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</si>
  <si>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</si>
  <si>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</si>
  <si>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</si>
  <si>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</si>
  <si>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</si>
  <si>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</si>
  <si>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</si>
  <si>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</si>
  <si>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</si>
  <si>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</si>
  <si>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</si>
  <si>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</si>
  <si>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</si>
  <si>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</si>
  <si>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</si>
  <si>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</si>
  <si>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</si>
  <si>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</si>
  <si>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</si>
  <si>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</si>
  <si>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</si>
  <si>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</si>
  <si>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</si>
  <si>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</si>
  <si>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</si>
  <si>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</si>
  <si>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</si>
  <si>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</si>
  <si>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</si>
  <si>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</si>
  <si>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</si>
  <si>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</si>
  <si>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</si>
  <si>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</si>
  <si>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</si>
  <si>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</si>
  <si>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</si>
  <si>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</si>
  <si>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</si>
  <si>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</si>
  <si>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</si>
  <si>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</si>
  <si>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</si>
  <si>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</si>
  <si>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</si>
  <si>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</si>
  <si>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</si>
  <si>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</si>
  <si>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</si>
  <si>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</si>
  <si>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</si>
  <si>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</si>
  <si>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</si>
  <si>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</si>
  <si>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</si>
  <si>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</si>
  <si>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</si>
  <si>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</si>
  <si>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</si>
  <si>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</si>
  <si>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</si>
  <si>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</si>
  <si>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</si>
  <si>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</si>
  <si>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</si>
  <si>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</si>
  <si>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</si>
  <si>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</si>
  <si>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</si>
  <si>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</si>
  <si>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</si>
  <si>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</si>
  <si>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</si>
  <si>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</si>
  <si>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</si>
  <si>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</si>
  <si>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</si>
  <si>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</si>
  <si>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</si>
  <si>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</si>
  <si>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</si>
  <si>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</si>
  <si>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</si>
  <si>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</si>
  <si>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</si>
  <si>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</si>
  <si>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</si>
  <si>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</si>
  <si>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</si>
  <si>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</si>
  <si>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</si>
  <si>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</si>
  <si>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</si>
  <si>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</si>
  <si>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</si>
  <si>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</si>
  <si>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</si>
  <si>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</si>
  <si>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</si>
  <si>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</si>
  <si>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</si>
  <si>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</si>
  <si>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</si>
  <si>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</si>
  <si>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</si>
  <si>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</si>
  <si>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</si>
  <si>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</si>
  <si>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</si>
  <si>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</si>
  <si>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</si>
  <si>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</si>
  <si>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</si>
  <si>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</si>
  <si>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</si>
  <si>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</si>
  <si>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</si>
  <si>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</si>
  <si>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</si>
  <si>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</si>
  <si>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</si>
  <si>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</si>
  <si>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</si>
  <si>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</si>
  <si>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</si>
  <si>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</si>
  <si>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</si>
  <si>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</si>
  <si>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</si>
  <si>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</si>
  <si>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</si>
  <si>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</si>
  <si>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</si>
  <si>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</si>
  <si>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</si>
  <si>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</si>
  <si>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</si>
  <si>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</si>
  <si>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</si>
  <si>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</si>
  <si>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</si>
  <si>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</si>
  <si>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</si>
  <si>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</si>
  <si>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</si>
  <si>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</si>
  <si>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</si>
  <si>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</si>
  <si>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</si>
  <si>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</si>
  <si>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</si>
  <si>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</si>
  <si>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</si>
  <si>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</si>
  <si>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</si>
  <si>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</si>
  <si>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</si>
  <si>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</si>
  <si>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</si>
  <si>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</si>
  <si>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</si>
  <si>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</si>
  <si>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</si>
  <si>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</si>
  <si>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</si>
  <si>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</si>
  <si>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</si>
  <si>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</si>
  <si>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</si>
  <si>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</si>
  <si>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</si>
  <si>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</si>
  <si>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</si>
  <si>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</si>
  <si>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</si>
  <si>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</si>
  <si>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</si>
  <si>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</si>
  <si>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</si>
  <si>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</si>
  <si>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</si>
  <si>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</si>
  <si>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</si>
  <si>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</si>
  <si>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</si>
  <si>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</si>
  <si>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</si>
  <si>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</si>
  <si>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</si>
  <si>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</si>
  <si>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</si>
  <si>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</si>
  <si>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</si>
  <si>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</si>
  <si>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</si>
  <si>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</si>
  <si>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</si>
  <si>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</si>
  <si>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</si>
  <si>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</si>
  <si>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</si>
  <si>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</si>
  <si>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</si>
  <si>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</si>
  <si>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</si>
  <si>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</si>
  <si>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</si>
  <si>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</si>
  <si>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</si>
  <si>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</si>
  <si>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</si>
  <si>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</si>
  <si>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</si>
  <si>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</si>
  <si>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</si>
  <si>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</si>
  <si>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</si>
  <si>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</si>
  <si>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</si>
  <si>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</si>
  <si>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</si>
  <si>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</si>
  <si>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</si>
  <si>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</si>
  <si>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</si>
  <si>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</si>
  <si>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</si>
  <si>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</si>
  <si>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</si>
  <si>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</si>
  <si>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</si>
  <si>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</si>
  <si>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</si>
  <si>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</si>
  <si>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</si>
  <si>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</si>
  <si>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</si>
  <si>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</si>
  <si>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</si>
  <si>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</si>
  <si>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</si>
  <si>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</si>
  <si>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</si>
  <si>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</si>
  <si>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</si>
  <si>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</si>
  <si>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</si>
  <si>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</si>
  <si>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</si>
  <si>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</si>
  <si>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</si>
  <si>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</si>
  <si>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</si>
  <si>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</si>
  <si>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</si>
  <si>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</si>
  <si>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</si>
  <si>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</si>
  <si>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</si>
  <si>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</si>
  <si>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</si>
  <si>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</si>
  <si>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</si>
  <si>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</si>
  <si>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</si>
  <si>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</si>
  <si>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</si>
  <si>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</si>
  <si>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</si>
  <si>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</si>
  <si>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</si>
  <si>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</si>
  <si>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</si>
  <si>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</si>
  <si>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</si>
  <si>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</si>
  <si>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</si>
  <si>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</si>
  <si>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</si>
  <si>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</si>
  <si>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</si>
  <si>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</si>
  <si>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</si>
  <si>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</si>
  <si>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</si>
  <si>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</si>
  <si>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</si>
  <si>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</si>
  <si>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</si>
  <si>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</si>
  <si>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</si>
  <si>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</si>
  <si>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</si>
  <si>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</si>
  <si>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</si>
  <si>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</si>
  <si>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</si>
  <si>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</si>
  <si>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</si>
  <si>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</si>
  <si>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</si>
  <si>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</si>
  <si>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</si>
  <si>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</si>
  <si>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</si>
  <si>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</si>
  <si>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</si>
  <si>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</si>
  <si>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</si>
  <si>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</si>
  <si>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</si>
  <si>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</si>
  <si>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</si>
  <si>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</si>
  <si>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</si>
  <si>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</si>
  <si>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</si>
  <si>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</si>
  <si>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</si>
  <si>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</si>
  <si>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</si>
  <si>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</si>
  <si>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</si>
  <si>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</si>
  <si>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</si>
  <si>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</si>
  <si>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</si>
  <si>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</si>
  <si>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</si>
  <si>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</si>
  <si>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</si>
  <si>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</si>
  <si>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</si>
  <si>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</si>
  <si>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</si>
  <si>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</si>
  <si>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</si>
  <si>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</si>
  <si>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</si>
  <si>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</si>
  <si>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</si>
  <si>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</si>
  <si>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</si>
  <si>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</si>
  <si>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</si>
  <si>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</si>
  <si>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</si>
  <si>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</si>
  <si>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</si>
  <si>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</si>
  <si>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</si>
  <si>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</si>
  <si>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</si>
  <si>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</si>
  <si>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</si>
  <si>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</si>
  <si>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</si>
  <si>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</si>
  <si>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</si>
  <si>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</si>
  <si>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</si>
  <si>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</si>
  <si>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</si>
  <si>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</si>
  <si>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</si>
  <si>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</si>
  <si>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</si>
  <si>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</si>
  <si>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</si>
  <si>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</si>
  <si>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</si>
  <si>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</si>
  <si>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</si>
  <si>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</si>
  <si>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</si>
  <si>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</si>
  <si>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</si>
  <si>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</si>
  <si>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</si>
  <si>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</si>
  <si>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</si>
  <si>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</si>
  <si>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</si>
  <si>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</si>
  <si>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</si>
  <si>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</si>
  <si>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</si>
  <si>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</si>
  <si>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</si>
  <si>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</si>
  <si>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</si>
  <si>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</si>
  <si>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</si>
  <si>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</si>
  <si>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</si>
  <si>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</si>
  <si>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</si>
  <si>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</si>
  <si>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</si>
  <si>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</si>
  <si>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</si>
  <si>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</si>
  <si>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</si>
  <si>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</si>
  <si>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</si>
  <si>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</si>
  <si>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</si>
  <si>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</si>
  <si>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</si>
  <si>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</si>
  <si>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</si>
  <si>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</si>
  <si>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</si>
  <si>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</si>
  <si>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</si>
  <si>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</si>
  <si>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</si>
  <si>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</si>
  <si>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</si>
  <si>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</si>
  <si>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</si>
  <si>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</si>
  <si>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</si>
  <si>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</si>
  <si>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</si>
  <si>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</si>
  <si>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</si>
  <si>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</si>
  <si>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</si>
  <si>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</si>
  <si>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</si>
  <si>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</si>
  <si>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</si>
  <si>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</si>
  <si>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</si>
  <si>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</si>
  <si>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</si>
  <si>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</si>
  <si>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</si>
  <si>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</si>
  <si>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</si>
  <si>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</si>
  <si>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</si>
  <si>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</si>
  <si>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</si>
  <si>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</si>
  <si>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</si>
  <si>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</si>
  <si>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</si>
  <si>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</si>
  <si>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</si>
  <si>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</si>
  <si>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</si>
  <si>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</si>
  <si>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</si>
  <si>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</si>
  <si>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</si>
  <si>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</si>
  <si>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</si>
  <si>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</si>
  <si>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</si>
  <si>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</si>
  <si>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</si>
  <si>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</si>
  <si>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</si>
  <si>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</si>
  <si>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</si>
  <si>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</si>
  <si>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</si>
  <si>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</si>
  <si>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</si>
  <si>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</si>
  <si>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</si>
  <si>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</si>
  <si>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</si>
  <si>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</si>
  <si>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</si>
  <si>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</si>
  <si>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</si>
  <si>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</si>
  <si>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</si>
  <si>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</si>
  <si>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</si>
  <si>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</si>
  <si>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</si>
  <si>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</si>
  <si>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</si>
  <si>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</si>
  <si>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</si>
  <si>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</si>
  <si>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</si>
  <si>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</si>
  <si>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</si>
  <si>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</si>
  <si>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</si>
  <si>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</si>
  <si>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</si>
  <si>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</si>
  <si>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</si>
  <si>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</si>
  <si>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</si>
  <si>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</si>
  <si>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</si>
  <si>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</si>
  <si>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</si>
  <si>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</si>
  <si>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</si>
  <si>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</si>
  <si>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</si>
  <si>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</si>
  <si>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</si>
  <si>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</si>
  <si>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</si>
  <si>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</si>
  <si>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</si>
  <si>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</si>
  <si>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</si>
  <si>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</si>
  <si>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</si>
  <si>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</si>
  <si>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</si>
  <si>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</si>
  <si>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</si>
  <si>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</si>
  <si>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</si>
  <si>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</si>
  <si>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</si>
  <si>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</si>
  <si>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</si>
  <si>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</si>
  <si>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</si>
  <si>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</si>
  <si>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</si>
  <si>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</si>
  <si>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</si>
  <si>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</si>
  <si>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</si>
  <si>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</si>
  <si>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</si>
  <si>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</si>
  <si>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</si>
  <si>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</si>
  <si>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</si>
  <si>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</si>
  <si>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</si>
  <si>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</si>
  <si>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</si>
  <si>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</si>
  <si>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</si>
  <si>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</si>
  <si>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</si>
  <si>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</si>
  <si>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</si>
  <si>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</si>
  <si>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</si>
  <si>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</si>
  <si>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</si>
  <si>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</si>
  <si>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</si>
  <si>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</si>
  <si>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</si>
  <si>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</si>
  <si>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</si>
  <si>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</si>
  <si>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</si>
  <si>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</si>
  <si>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</si>
  <si>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</si>
  <si>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</si>
  <si>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</si>
  <si>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</si>
  <si>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</si>
  <si>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</si>
  <si>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</si>
  <si>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</si>
  <si>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</si>
  <si>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</si>
  <si>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</si>
  <si>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</si>
  <si>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</si>
  <si>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</si>
  <si>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</si>
  <si>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</si>
  <si>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</si>
  <si>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</si>
  <si>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</si>
  <si>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</si>
  <si>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</si>
  <si>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</si>
  <si>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</si>
  <si>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</si>
  <si>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</si>
  <si>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</si>
  <si>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</si>
  <si>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</si>
  <si>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</si>
  <si>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</si>
  <si>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</si>
  <si>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</si>
  <si>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</si>
  <si>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</si>
  <si>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</si>
  <si>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</si>
  <si>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</si>
  <si>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</si>
  <si>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</si>
  <si>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</si>
  <si>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</si>
  <si>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</si>
  <si>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</si>
  <si>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</si>
  <si>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</si>
  <si>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</si>
  <si>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</si>
  <si>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</si>
  <si>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</si>
  <si>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</si>
  <si>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</si>
  <si>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</si>
  <si>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</si>
  <si>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</si>
  <si>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</si>
  <si>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</si>
  <si>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</si>
  <si>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</si>
  <si>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</si>
  <si>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</si>
  <si>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</si>
  <si>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</si>
  <si>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</si>
  <si>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</si>
  <si>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</si>
  <si>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</si>
  <si>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</si>
  <si>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</si>
  <si>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</si>
  <si>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</si>
  <si>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</si>
  <si>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</si>
  <si>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</si>
  <si>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</si>
  <si>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</si>
  <si>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</si>
  <si>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</si>
  <si>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</si>
  <si>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</si>
  <si>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</si>
  <si>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</si>
  <si>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</si>
  <si>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</si>
  <si>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</si>
  <si>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</si>
  <si>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</si>
  <si>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</si>
  <si>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</si>
  <si>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</si>
  <si>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</si>
  <si>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</si>
  <si>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</si>
  <si>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</si>
  <si>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</si>
  <si>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</si>
  <si>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</si>
  <si>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</si>
  <si>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</si>
  <si>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</si>
  <si>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</si>
  <si>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</si>
  <si>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</si>
  <si>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</si>
  <si>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</si>
  <si>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</si>
  <si>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</si>
  <si>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</si>
  <si>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</si>
  <si>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</si>
  <si>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</si>
  <si>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</si>
  <si>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</si>
  <si>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</si>
  <si>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</si>
  <si>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</si>
  <si>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</si>
  <si>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</si>
  <si>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</si>
  <si>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</si>
  <si>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</si>
  <si>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</si>
  <si>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</si>
  <si>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</si>
  <si>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</si>
  <si>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</si>
  <si>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</si>
  <si>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</si>
  <si>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</si>
  <si>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</si>
  <si>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</si>
  <si>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</si>
  <si>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</si>
  <si>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</si>
  <si>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</si>
  <si>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</si>
  <si>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</si>
  <si>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</si>
  <si>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</si>
  <si>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</si>
  <si>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</si>
  <si>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</si>
  <si>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</si>
  <si>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</si>
  <si>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</si>
  <si>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</si>
  <si>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</si>
  <si>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</si>
  <si>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</si>
  <si>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</si>
  <si>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</si>
  <si>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</si>
  <si>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</si>
  <si>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</si>
  <si>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</si>
  <si>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</si>
  <si>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</si>
  <si>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</si>
  <si>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</si>
  <si>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</si>
  <si>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</si>
  <si>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</si>
  <si>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</si>
  <si>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</si>
  <si>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</si>
  <si>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</si>
  <si>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</si>
  <si>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</si>
  <si>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</si>
  <si>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</si>
  <si>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</si>
  <si>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</si>
  <si>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</si>
  <si>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</si>
  <si>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</si>
  <si>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</si>
  <si>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</si>
  <si>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</si>
  <si>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</si>
  <si>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</si>
  <si>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</si>
  <si>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</si>
  <si>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</si>
  <si>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</si>
  <si>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</si>
  <si>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</si>
  <si>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</si>
  <si>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</si>
  <si>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</si>
  <si>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</si>
  <si>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</si>
  <si>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</si>
  <si>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</si>
  <si>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</si>
  <si>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</si>
  <si>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</si>
  <si>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</si>
  <si>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</si>
  <si>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</si>
  <si>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</si>
  <si>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</si>
  <si>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</si>
  <si>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</si>
  <si>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</si>
  <si>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</si>
  <si>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</si>
  <si>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</si>
  <si>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</si>
  <si>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</si>
  <si>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</si>
  <si>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</si>
  <si>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</si>
  <si>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</si>
  <si>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</si>
  <si>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</si>
  <si>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</si>
  <si>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</si>
  <si>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</si>
  <si>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</si>
  <si>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</si>
  <si>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</si>
  <si>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</si>
  <si>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</si>
  <si>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</si>
  <si>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</si>
  <si>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</si>
  <si>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</si>
  <si>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</si>
  <si>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</si>
  <si>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</si>
  <si>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</si>
  <si>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</si>
  <si>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</si>
  <si>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</si>
  <si>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</si>
  <si>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</si>
  <si>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</si>
  <si>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</si>
  <si>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</si>
  <si>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</si>
  <si>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</si>
  <si>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</si>
  <si>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</si>
  <si>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</si>
  <si>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</si>
  <si>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</si>
  <si>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</si>
  <si>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</si>
  <si>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</si>
  <si>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</si>
  <si>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</si>
  <si>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</si>
  <si>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</si>
  <si>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</si>
  <si>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</si>
  <si>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</si>
  <si>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</si>
  <si>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</si>
  <si>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</si>
  <si>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</si>
  <si>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</si>
  <si>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</si>
  <si>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</si>
  <si>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</si>
  <si>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</si>
  <si>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</si>
  <si>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</si>
  <si>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</si>
  <si>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</si>
  <si>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</si>
  <si>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</si>
  <si>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</si>
  <si>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</si>
  <si>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</si>
  <si>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</si>
  <si>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</si>
  <si>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</si>
  <si>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</si>
  <si>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</si>
  <si>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</si>
  <si>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</si>
  <si>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</si>
  <si>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</si>
  <si>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</si>
  <si>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</si>
  <si>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</si>
  <si>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</si>
  <si>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</si>
  <si>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</si>
  <si>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</si>
  <si>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</si>
  <si>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</si>
  <si>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</si>
  <si>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</si>
  <si>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</si>
  <si>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</si>
  <si>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</si>
  <si>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</si>
  <si>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</si>
  <si>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</si>
  <si>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</si>
  <si>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</si>
  <si>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</si>
  <si>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</si>
  <si>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</si>
  <si>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</si>
  <si>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</si>
  <si>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</si>
  <si>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</si>
  <si>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</si>
  <si>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</si>
  <si>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</si>
  <si>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</si>
  <si>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</si>
  <si>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</si>
  <si>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</si>
  <si>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</si>
  <si>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</si>
  <si>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</si>
  <si>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</si>
  <si>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</si>
  <si>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</si>
  <si>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</si>
  <si>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</si>
  <si>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</si>
  <si>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</si>
  <si>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</si>
  <si>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</si>
  <si>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</si>
  <si>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</si>
  <si>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</si>
  <si>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</si>
  <si>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</si>
  <si>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</si>
  <si>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</si>
  <si>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</si>
  <si>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</si>
  <si>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</si>
  <si>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</si>
  <si>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</si>
  <si>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</si>
  <si>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</si>
  <si>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</si>
  <si>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</si>
  <si>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</si>
  <si>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</si>
  <si>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</si>
  <si>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</si>
  <si>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</si>
  <si>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</si>
  <si>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</si>
  <si>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</si>
  <si>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</si>
  <si>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</si>
  <si>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</si>
  <si>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</si>
  <si>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</si>
  <si>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</si>
  <si>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</si>
  <si>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</si>
  <si>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</si>
  <si>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</si>
  <si>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</si>
  <si>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</si>
  <si>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</si>
  <si>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</si>
  <si>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</si>
  <si>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</si>
  <si>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</si>
  <si>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</si>
  <si>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</si>
  <si>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</si>
  <si>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</si>
  <si>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</si>
  <si>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</si>
  <si>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</si>
  <si>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</si>
  <si>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</si>
  <si>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</si>
  <si>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</si>
  <si>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</si>
  <si>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</si>
  <si>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</si>
  <si>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</si>
  <si>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</si>
  <si>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</si>
  <si>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</si>
  <si>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</si>
  <si>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</si>
  <si>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</si>
  <si>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</si>
  <si>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</si>
  <si>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</si>
  <si>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</si>
  <si>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</si>
  <si>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</si>
  <si>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</si>
  <si>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</si>
  <si>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</si>
  <si>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</si>
  <si>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</si>
  <si>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</si>
  <si>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</si>
  <si>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</si>
  <si>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</si>
  <si>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</si>
  <si>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</si>
  <si>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</si>
  <si>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</si>
  <si>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</si>
  <si>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</si>
  <si>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</si>
  <si>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</si>
  <si>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</si>
  <si>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</si>
  <si>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</si>
  <si>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</si>
  <si>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</si>
  <si>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</si>
  <si>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</si>
  <si>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</si>
  <si>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</si>
  <si>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</si>
  <si>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</si>
  <si>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</si>
  <si>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</si>
  <si>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</si>
  <si>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</si>
  <si>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</si>
  <si>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</si>
  <si>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</si>
  <si>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</si>
  <si>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</si>
  <si>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</si>
  <si>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</si>
  <si>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</si>
  <si>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</si>
  <si>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</si>
  <si>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</si>
  <si>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</si>
  <si>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</si>
  <si>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</si>
  <si>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</si>
  <si>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</si>
  <si>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</si>
  <si>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</si>
  <si>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</si>
  <si>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</si>
  <si>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</si>
  <si>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</si>
  <si>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</si>
  <si>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</si>
  <si>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</si>
  <si>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</si>
  <si>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</si>
  <si>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</si>
  <si>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</si>
  <si>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</si>
  <si>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</si>
  <si>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</si>
  <si>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</si>
  <si>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</si>
  <si>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</si>
  <si>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</si>
  <si>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</si>
  <si>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</si>
  <si>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</si>
  <si>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</si>
  <si>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</si>
  <si>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</si>
  <si>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</si>
  <si>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</si>
  <si>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</si>
  <si>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</si>
  <si>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</si>
  <si>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</si>
  <si>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</si>
  <si>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</si>
  <si>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</si>
  <si>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</si>
  <si>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</si>
  <si>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</si>
  <si>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</si>
  <si>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</si>
  <si>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</si>
  <si>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</si>
  <si>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</si>
  <si>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</si>
  <si>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</si>
  <si>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</si>
  <si>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</si>
  <si>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</si>
  <si>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</si>
  <si>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</si>
  <si>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</si>
  <si>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</si>
  <si>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</si>
  <si>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</si>
  <si>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</si>
  <si>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</si>
  <si>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</si>
  <si>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</si>
  <si>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</si>
  <si>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</si>
  <si>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</si>
  <si>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</si>
  <si>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</si>
  <si>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</si>
  <si>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</si>
  <si>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</si>
  <si>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</si>
  <si>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</si>
  <si>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</si>
  <si>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</si>
  <si>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</si>
  <si>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</si>
  <si>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</si>
  <si>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</si>
  <si>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</si>
  <si>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</si>
  <si>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</si>
  <si>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</si>
  <si>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</si>
  <si>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</si>
  <si>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</si>
  <si>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</si>
  <si>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</si>
  <si>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</si>
  <si>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</si>
  <si>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</si>
  <si>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</si>
  <si>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</si>
  <si>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</si>
  <si>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</si>
  <si>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</si>
  <si>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</si>
  <si>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</si>
  <si>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</si>
  <si>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</si>
  <si>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</si>
  <si>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</si>
  <si>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</si>
  <si>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</si>
  <si>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</si>
  <si>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</si>
  <si>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</si>
  <si>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</si>
  <si>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</si>
  <si>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</si>
  <si>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</si>
  <si>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</si>
  <si>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</si>
  <si>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</si>
  <si>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</si>
  <si>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</si>
  <si>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</si>
  <si>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</si>
  <si>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</si>
  <si>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</si>
  <si>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</si>
  <si>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</si>
  <si>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</si>
  <si>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</si>
  <si>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</si>
  <si>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</si>
  <si>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</si>
  <si>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</si>
  <si>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</si>
  <si>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</si>
  <si>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</si>
  <si>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</si>
  <si>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</si>
  <si>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</si>
  <si>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</si>
  <si>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</si>
  <si>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</si>
  <si>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</si>
  <si>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</si>
  <si>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</si>
  <si>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</si>
  <si>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</si>
  <si>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</si>
  <si>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</si>
  <si>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</si>
  <si>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</si>
  <si>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</si>
  <si>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</si>
  <si>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</si>
  <si>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</si>
  <si>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</si>
  <si>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</si>
  <si>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</si>
  <si>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</si>
  <si>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</si>
  <si>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</si>
  <si>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</si>
  <si>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</si>
  <si>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</si>
  <si>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</si>
  <si>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</si>
  <si>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</si>
  <si>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</si>
  <si>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</si>
  <si>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</si>
  <si>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</si>
  <si>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</si>
  <si>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</si>
  <si>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</si>
  <si>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</si>
  <si>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</si>
  <si>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</si>
  <si>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</si>
  <si>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</si>
  <si>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</si>
  <si>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</si>
  <si>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</si>
  <si>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</si>
  <si>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</si>
  <si>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</si>
  <si>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</si>
  <si>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</si>
  <si>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</si>
  <si>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</si>
  <si>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</si>
  <si>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</si>
  <si>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</si>
  <si>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</si>
  <si>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</si>
  <si>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</si>
  <si>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</si>
  <si>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</si>
  <si>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</si>
  <si>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</si>
  <si>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</si>
  <si>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</si>
  <si>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</si>
  <si>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</si>
  <si>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</si>
  <si>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</si>
  <si>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</si>
  <si>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</si>
  <si>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</si>
  <si>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</si>
  <si>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</si>
  <si>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</si>
  <si>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</si>
  <si>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</si>
  <si>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</si>
  <si>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</si>
  <si>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</si>
  <si>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</si>
  <si>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</si>
  <si>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</si>
  <si>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</si>
  <si>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</si>
  <si>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</si>
  <si>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</si>
  <si>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</si>
  <si>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</si>
  <si>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</si>
  <si>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</si>
  <si>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</si>
  <si>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</si>
  <si>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</si>
  <si>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</si>
  <si>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</si>
  <si>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</si>
  <si>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</si>
  <si>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</si>
  <si>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</si>
  <si>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</si>
  <si>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</si>
  <si>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</si>
  <si>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</si>
  <si>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</si>
  <si>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</si>
  <si>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</si>
  <si>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</si>
  <si>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</si>
  <si>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</si>
  <si>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</si>
  <si>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</si>
  <si>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</si>
  <si>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</si>
  <si>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</si>
  <si>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</si>
  <si>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</si>
  <si>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</si>
  <si>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</si>
  <si>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</si>
  <si>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</si>
  <si>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</si>
  <si>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</si>
  <si>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</si>
  <si>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</si>
  <si>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</si>
  <si>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</si>
  <si>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</si>
  <si>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</si>
  <si>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</si>
  <si>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</si>
  <si>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</si>
  <si>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</si>
  <si>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</si>
  <si>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</si>
  <si>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</si>
  <si>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</si>
  <si>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</si>
  <si>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</si>
  <si>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</si>
  <si>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</si>
  <si>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</si>
  <si>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</si>
  <si>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</si>
  <si>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</si>
  <si>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</si>
  <si>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</si>
  <si>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</si>
  <si>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</si>
  <si>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</si>
  <si>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</si>
  <si>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</si>
  <si>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</si>
  <si>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</si>
  <si>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</si>
  <si>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</si>
  <si>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</si>
  <si>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</si>
  <si>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</si>
  <si>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</si>
  <si>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</si>
  <si>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</si>
  <si>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</si>
  <si>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</si>
  <si>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</si>
  <si>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</si>
  <si>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</si>
  <si>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</si>
  <si>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</si>
  <si>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</si>
  <si>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</si>
  <si>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</si>
  <si>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</si>
  <si>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</si>
  <si>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</si>
  <si>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</si>
  <si>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</si>
  <si>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</si>
  <si>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</si>
  <si>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</si>
  <si>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</si>
  <si>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</si>
  <si>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</si>
  <si>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</si>
  <si>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</si>
  <si>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</si>
  <si>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</si>
  <si>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</si>
  <si>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</si>
  <si>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</si>
  <si>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</si>
  <si>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</si>
  <si>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</si>
  <si>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</si>
  <si>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</si>
  <si>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</si>
  <si>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</si>
  <si>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</si>
  <si>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</si>
  <si>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</si>
  <si>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</si>
  <si>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</si>
  <si>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</si>
  <si>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</si>
  <si>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</si>
  <si>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</si>
  <si>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</si>
  <si>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</si>
  <si>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</si>
  <si>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</si>
  <si>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</si>
  <si>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</si>
  <si>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</si>
  <si>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</si>
  <si>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</si>
  <si>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</si>
  <si>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</si>
  <si>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</si>
  <si>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</si>
  <si>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</si>
  <si>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</si>
  <si>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</si>
  <si>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</si>
  <si>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</si>
  <si>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</si>
  <si>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</si>
  <si>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</si>
  <si>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</si>
  <si>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</si>
  <si>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</si>
  <si>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</si>
  <si>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</si>
  <si>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</si>
  <si>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</si>
  <si>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</si>
  <si>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</si>
  <si>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</si>
  <si>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</si>
  <si>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</si>
  <si>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</si>
  <si>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</si>
  <si>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</si>
  <si>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</si>
  <si>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</si>
  <si>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</si>
  <si>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</si>
  <si>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</si>
  <si>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</si>
  <si>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</si>
  <si>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</si>
  <si>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</si>
  <si>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</si>
  <si>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</si>
  <si>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</si>
  <si>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</si>
  <si>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</si>
  <si>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</si>
  <si>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</si>
  <si>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</si>
  <si>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</si>
  <si>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</si>
  <si>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</si>
  <si>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</si>
  <si>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</si>
  <si>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</si>
  <si>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</si>
  <si>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</si>
  <si>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</si>
  <si>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</si>
  <si>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</si>
  <si>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</si>
  <si>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</si>
  <si>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</si>
  <si>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</si>
  <si>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</si>
  <si>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</si>
  <si>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</si>
  <si>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</si>
  <si>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</si>
  <si>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</si>
  <si>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</si>
  <si>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</si>
  <si>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</si>
  <si>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</si>
  <si>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</si>
  <si>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</si>
  <si>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</si>
  <si>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</si>
  <si>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</si>
  <si>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</si>
  <si>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</si>
  <si>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</si>
  <si>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</si>
  <si>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</si>
  <si>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</si>
  <si>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</si>
  <si>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</si>
  <si>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</si>
  <si>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</si>
  <si>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</si>
  <si>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</si>
  <si>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</si>
  <si>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</si>
  <si>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</si>
  <si>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</si>
  <si>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</si>
  <si>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</si>
  <si>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</si>
  <si>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</si>
  <si>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</si>
  <si>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</si>
  <si>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</si>
  <si>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</si>
  <si>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</si>
  <si>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</si>
  <si>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</si>
  <si>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</si>
  <si>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</si>
  <si>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</si>
  <si>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</si>
  <si>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</si>
  <si>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</si>
  <si>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</si>
  <si>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</si>
  <si>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</si>
  <si>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</si>
  <si>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</si>
  <si>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</si>
  <si>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</si>
  <si>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</si>
  <si>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</si>
  <si>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</si>
  <si>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</si>
  <si>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</si>
  <si>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</si>
  <si>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</si>
  <si>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</si>
  <si>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</si>
  <si>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</si>
  <si>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</si>
  <si>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</si>
  <si>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</si>
  <si>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</si>
  <si>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</si>
  <si>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</si>
  <si>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</si>
  <si>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</si>
  <si>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</si>
  <si>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</si>
  <si>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</si>
  <si>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</si>
  <si>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</si>
  <si>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</si>
  <si>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</si>
  <si>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</si>
  <si>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</si>
  <si>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</si>
  <si>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</si>
  <si>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</si>
  <si>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</si>
  <si>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</si>
  <si>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</si>
  <si>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</si>
  <si>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</si>
  <si>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</si>
  <si>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</si>
  <si>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</si>
  <si>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</si>
  <si>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</si>
  <si>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</si>
  <si>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One Street Residential, LLC</t>
  </si>
  <si>
    <t>brendan@onestreetres.com</t>
  </si>
  <si>
    <t>Brendan Barr</t>
  </si>
  <si>
    <t>Managing Partner - Development</t>
  </si>
  <si>
    <t>thurston@onestreetres.com</t>
  </si>
  <si>
    <t>Thurston Cooke</t>
  </si>
  <si>
    <t>Managing Partner - CFO</t>
  </si>
  <si>
    <t>Wesley Square</t>
  </si>
  <si>
    <t>Unincorporated County</t>
  </si>
  <si>
    <t>Truist Bank</t>
  </si>
  <si>
    <t>Truist Community Capital</t>
  </si>
  <si>
    <t>Amortizing</t>
  </si>
  <si>
    <t>Asbestos Remediation</t>
  </si>
  <si>
    <t>DDA/QCT</t>
  </si>
  <si>
    <t>As indicated in the Phase I ESA, the partnership will pay for remediation and removal of asbestos from 2 existing vacant structures on the site.</t>
  </si>
  <si>
    <t>As this is a cost related to demolition and preparation of the land for development, these costs are omitted from the eligible basis.</t>
  </si>
  <si>
    <t>DCA - Georgia North Region</t>
  </si>
  <si>
    <t>Electric Heat Pump</t>
  </si>
  <si>
    <t xml:space="preserve">Novogradac Rent &amp; Income Calculator </t>
  </si>
  <si>
    <t>40% of Units at 60% of AMI</t>
  </si>
  <si>
    <t>N/a</t>
  </si>
  <si>
    <t>Water &amp; Sewer Reimbursement</t>
  </si>
  <si>
    <t>16-75</t>
  </si>
  <si>
    <t>The tenancy characteristics for the proposed development will meet the DCA definition of a "Family" project. The property meets the requirements of local zoning for Family tenancy.</t>
  </si>
  <si>
    <t>This property will provide services as appropriate to a Family tenancy and clientele.</t>
  </si>
  <si>
    <t>Real Property Research Group</t>
  </si>
  <si>
    <t>All capture rates are within DCA thresholds and indicate sufficient demand in the market area to support the proposed Wesley Square development.</t>
  </si>
  <si>
    <t>N/A.</t>
  </si>
  <si>
    <t>CHA</t>
  </si>
  <si>
    <t>The Nett United Methodist Church is the groundlessor. Wesley Square, L.P. is the optionee.</t>
  </si>
  <si>
    <t>Nett Church and the optionee have agreed to certain terms whereby the optionee, under the leadership OneStreet Residential, LLC (an affiliate of the optionee) may elect to participate in a long-term ground lease with Nett Church in an effort to support the construction, development, and management of an affordable housing community.</t>
  </si>
  <si>
    <t>The proposed site has pedestrian and vehicular access via Jimmy Carter Boulevard (Primary Access Point).</t>
  </si>
  <si>
    <t>Atlanta Gas Light</t>
  </si>
  <si>
    <t>Georgia Power</t>
  </si>
  <si>
    <t>Please find enclosed the gas and electric utility availability letters provided by Atlanta Gas Light and Georgia Power, respectively, stating that the proposed project will have the necessary gas and electric services provided, included in folder "08Readiness".</t>
  </si>
  <si>
    <t>Gwinnett County Department of Water Resources</t>
  </si>
  <si>
    <t>The required availability and capacity letters from the Gwinnett County Department of Water Resources are included in the application in folder "08Readiness".</t>
  </si>
  <si>
    <t>Building</t>
  </si>
  <si>
    <t>Covered Porch</t>
  </si>
  <si>
    <t>On-site laundry</t>
  </si>
  <si>
    <t>All required amenities are included on the conceptual site development plan cover sheet in the application, included in folder "08Readiness".</t>
  </si>
  <si>
    <t>N/A - this is not a rehabilitation project.</t>
  </si>
  <si>
    <t>A Conceptual Site Developent Plan, Existing Conditions Site Plan, Color Site Photos, Site Vicinity Map, and Aerial Photographs are included in folder "08Readiness".</t>
  </si>
  <si>
    <t>Agree</t>
  </si>
  <si>
    <t>Applicant agrees to all building sustainability requirements per the 2024-2025 QAP.</t>
  </si>
  <si>
    <t>Applicant agrees to meet all Architectural and Design Quality standards per the 2024 Architectural Standards Manual.</t>
  </si>
  <si>
    <t>Yes - see Comment</t>
  </si>
  <si>
    <t>N/A - this project is not eligible for the non-profit set-aside.</t>
  </si>
  <si>
    <t xml:space="preserve">N/A - this project does not have any existing occupied structures. </t>
  </si>
  <si>
    <t>The owner will comply with all AFFH requirements.</t>
  </si>
  <si>
    <t>For Profit</t>
  </si>
  <si>
    <t>Applicant commits to engage QBs in the development and/or operation of the proposed Wesley Square property in amounts equal to approximately 10% of total construction hard costs as certified by an Independent Auditor Report in the Final Allocation Application. Supporting documentation is provided in folder "04MinorityWoman".</t>
  </si>
  <si>
    <t>Owner confirms successful prior performance under DCA PBRA Commitments.</t>
  </si>
  <si>
    <t>Submitted</t>
  </si>
  <si>
    <t>Applicant commits to make on-going efforts to request that the PHA and HCV administrator make referrals to the proposed development, or request they include relevant information about the proposed development on any listing made available to persons on their waiting lists.</t>
  </si>
  <si>
    <t>Wesley Square is conveniently located within easy walking and driving distances of attractive neighborhood amenities including Walmart (1-mile away), Al Madina Halal Market &amp; Restaurant (0.2-miles away), Taqueria Maria (0.2-miles away), Dentistry Dr. Gloria Stingley (0.7-miles away), Walgreens (0.05-miles away), Rockbridge Elementary School (0.9-miles away), Graves Park (1.4-miles away), Gwinnett County Fire Station 11 (1.0-mile away), Wells Fargo (0.7-miles away), and Nett Church (0.06-miles away). As indicated on the Desirable/Undesirable Site Characteristics Certification in folder "11DesirUndes", these distances are measured from the appropriate geocoordinates of the primary vehicular or pedestrian site entrances. The total point availability for all of the nearby neighborhood amenities would have a value of 21 total points (of which 20 points can only be scored).</t>
  </si>
  <si>
    <t>Gwinnett County Transit</t>
  </si>
  <si>
    <t>info@gwinnettcounty.com</t>
  </si>
  <si>
    <t>https://www.gwinnettcounty.com/web/gwinnett/departments/transportation/gwinnettcountytransit</t>
  </si>
  <si>
    <t>The primary site entrance of Wesley Square is located less than 1/4-mile walking distance from GCT's Bus Stop #0562, as shown on the maps included in folder "12CommTransOpt".  This tab also includes route and schedule information for GCT Bus Routes 20 and 30 - each of which follow fixed routes with daily schedules, and serve the City of Norcross and the greater Gwinnett County area from MARTA's Doraville Transit Hub Station. Please note that GCT Bus Stop #0562 geocoordinates include 0s that are not shown above - i.e. 33.901360, -84.206090.</t>
  </si>
  <si>
    <t>Graves Elementary School</t>
  </si>
  <si>
    <t>Radloff Middle School</t>
  </si>
  <si>
    <t>10-11</t>
  </si>
  <si>
    <t>Gwinnett County GICH Team</t>
  </si>
  <si>
    <t>Application is submitted with the support of the Gwinnett County GICH. Supporting documentation is provided in folder "24DCACommInit".</t>
  </si>
  <si>
    <t>OneStreet Development, LLC and GHC</t>
  </si>
  <si>
    <t>Newmark Valuation &amp; Advisory</t>
  </si>
  <si>
    <t>Zeffert &amp; Associates</t>
  </si>
  <si>
    <t>The Project Team includes Gwinnett Housing Corporation, a 501©(3) organization operating under its parent organization the Lawrenceville Housing Authority, and OneStreet Residential, LLC, a longtime affordable housing owner, developer, and property manager. The Project Team's qualifications package is included in folder "06CompliancePerf". A copy of the MOU between the parties is also included in folder "08Readiness".
The Project Team successfully received a "Qualified" 2024 Pre-Application Project Team Qualification Determination letter from DCA.</t>
  </si>
  <si>
    <t xml:space="preserve">Grandbridge Real Estate Capital </t>
  </si>
  <si>
    <t>2024QD-047</t>
  </si>
  <si>
    <t>The Applicant will commission an appraisal during Threshold Review.</t>
  </si>
  <si>
    <t>Gwinnett County Board of Commissioners confirmed current zoning status on May 7, 2024. Zoning Verification Letter is provided in folder "08Readiness".</t>
  </si>
  <si>
    <t>Applicant confirms Project will meet all requirements for XXIV. Supportive Housing Requirements under the 2024 QAP.</t>
  </si>
  <si>
    <t>Applicant confirms that they will meet the requirements of the 2024 QAP, XXV. Tenant Selection and the 2024 Compliance Manual.</t>
  </si>
  <si>
    <t>Applicant agrees to meet the requirements of the XXVI. DCA PBRA Agreement section.</t>
  </si>
  <si>
    <t>Per the 2024 QAP, this subsection applies to 4% Credits/Bonds Applications only.</t>
  </si>
  <si>
    <t>Applicant has demonstrated a readiness to proceed with the documentation included in folder "08Readiness". If selected under the Competitive Round, Applicant understands that documents submitted for Readiness to Proceed may need to be updated again for purposes of Threshold review. In addition, scoring criteria section VIII. Readiness to Proceed states that in all cases where a document set is not applicable to the development, the Application will receive full points for the associated documents. Since this Project is not a rehabilitation, there is no documentation provided for Physical Needs Assessment. However, the Applicant is still claiming 1 point for that specific item.</t>
  </si>
  <si>
    <t>The Project Team is a joint venture between Gwinnett Housing Corporation, a 501©3 non-profit development organization established by its parent company the Lawrenceville Housing Authority, and OneStreet Residential. The full qualifications package for this partnership in addition to the Project Team's Qualification Determination Letter are included in folder "06CompliancePerf".</t>
  </si>
  <si>
    <t>Local ARPA Funding</t>
  </si>
  <si>
    <t>Gwinnett County</t>
  </si>
  <si>
    <t>Construction hard cost estimates were based on the developer’s extensive experience building communities with a similar tenancy, unit mix and amenity package in similar areas within Georgia.
Commitments for all debt and equity are found in folder "08Readiness". Gwinnett County ARPA commitment letter can be found in folder "05FavorFinan" and "08Readiness".
The amount shown above for acquisition cost is a capital lease payment ($12,500 / unit) and is included in the option to ground lease in folder "08Readiness".
Local Government Fees - Please note that the Water Tap Fee shown in the budget ($135,397 total) includes the County's Water Tap Fee ($93,342) plus an Irrigation Fee ($42,055), as shown in letter "Water and Sewer Impact Fees", included in folder "08Readiness". The Sewer Fee ($93,341) is also shown in letter "Water and Sewer Impact Fees", also included in folder "08Readiness".</t>
  </si>
  <si>
    <t xml:space="preserve">All units are submetered as the project is new construction. Utility allowances are per the DCA - Georgia North Region (effective January 1, 2024). Applicable utility allowance schedules are provided as additional documentation in folders "52AddlDoc". The allowances included are consistent with the proposed building types. </t>
  </si>
  <si>
    <t>The percentage of non-tax credit, unrestricted permanent financing against total develoment costs exceeds the percentage of market rate units in this application, as required by DCA.
Commitment letter for Gwinnett County ARP/SLFRF funds can be found in folder "05FavorFinan" and "08Readiness". Debt and Equity commitmemnt letters can be found in "08Readiness".</t>
  </si>
  <si>
    <t>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approximately 85% of total charges. From property management's experience, this allocation allows for common area billing allocation as well as collection losses from resident billing. Monthly billing revenue is equal to approximately $21.28 per unit per month which is well below the utility allowance provided to the residents.
The ground lease option calls for annual payments of $10,000 per year for the first 15 years, followed by a one-time step up provision of an additional $5,000 per year for the remainder of the lease term ($15,000 per year, years 16 - 75), as reflected in the proforma. The option to ground lease is also included in folder "08Readiness".</t>
  </si>
  <si>
    <t>The debt service coverage ratio for the first mortgage meets DCA's requirment of not going below 1.20 for new construction projects during the 15-year Compliance period for tax credit only projects.
Per Gwinnett County financning Commitment Letter, payments on the ARPA loan are sized to 25% of available cash flow subject to availability.</t>
  </si>
  <si>
    <t>This application is submitted in accordance with the 2024-2025 Qualified Allocation Plan. All financial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and Sewer Tap Fees were obtained from Gwinnett County with the assistance of the project Engineer. Letters are provided, and can be found in folder "52AddlDoc".</t>
  </si>
  <si>
    <t>Applicant agrees to meet all accessibility requirements per the 2024-2025 QAP and the 2024 Architectural and Accessibility Manuals, Forms, and Guidelines.</t>
  </si>
  <si>
    <t>The applicant ensures the complete, effective, efficient, and lawful utilization of the low-income housing credit if awarded by DCA. At a tax credit allocation of $18,056 per physical unit, and $22,414 per low-income unit, we maintain that this is an efficient use of DCA resources in the current economic climate.</t>
  </si>
  <si>
    <t>Applicant has secured $1,640,000 ARPA loan through the Gwinnett County Affordable Housing Stabilization Loan NOFA. Supporting Documentation is included in folders "05FavFinan" and "08Readiness".</t>
  </si>
  <si>
    <t>Gwinnett County ARPA</t>
  </si>
  <si>
    <t>Graves Elementary School and Radloff Middle School received "Beating the Odds" designation in 2018, as highlighted on page 26 of the file "1301WslySqBTO2018" in folder "13QualEduc". As this represents more than seven (7) grade levels meeting this designation, in a district with a proposed Family project, the application is eligible for 1.5 points in this category. Maps showing the location and attendance zones for each school are also located in folder "13QualEduc".</t>
  </si>
  <si>
    <t>The Gwinnett County Board of Commissioners approved an update to the Jimmy Carter Boulevard LCI plan. The updated plan was formally approved by the Board of Commissioners on Tuesday, March 21, 2023. A copy of the signed resolution to this letter is included in folder "14RevitRedevPlan". Gwinnett County looks forward to continuing improvements in the LCI study area to further advance the vision and goals of the Jimmy Carter Boulevard LCI study.
Community Partnership letters are provided for Project Community Connections Inc., St. Vincent De Paul, Money Management International, and Boys and Girls Club. These four community partnership letters evidence 5+ years of cumulative parnerships. In addition, the community partner ogranizations provide services associated with Education, Employment, and Health. Letters are included in folder "14RevitRedevPlan".</t>
  </si>
  <si>
    <t>Wesley Square is not within the Metro Pool-specific buffer (1-mile radius) of a 4% or 9% Credit development that has received an award in the last 6 DCA competitive funding cycles. A map evidencing this is included in folder "18PrevProj".</t>
  </si>
  <si>
    <t>Applicant certifies to partner with a DCA-approved 3rd party contractor for resident services at Wesley Square.</t>
  </si>
  <si>
    <t>A Phase I Environmental Site Assessment was completed in accord with the 2024 DCA Environmental Review Manual and associated documents and instructions, and is included in folder "08Readiness". In addition, a Phase II Environmental Site Assessment was completed in accord with the 2023 DCA Environmental Review Manual and associated documents and instructions, and is included in folder "08Readiness". Environmental requirements will be updated as required upon Threshold Review. Per the 2024 QAP and Environmental Manual, Phase II Environmental Site Assessment and all radon and asbestos testing will be updated upon Threshold Review.</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</si>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</sst>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3" fontId="3" fillId="5" borderId="83" xfId="0"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Wesley Square</v>
      </c>
    </row>
    <row r="3" spans="1:6" ht="15" customHeight="1">
      <c r="A3" s="654" t="str">
        <f>CONCATENATE('Part I-Project Identification'!F27,", ", 'Part I-Project Identification'!J27," County")</f>
        <v>Norcross, Gwinnett County</v>
      </c>
    </row>
    <row r="4" spans="1:6" ht="12" customHeight="1">
      <c r="A4" s="1062"/>
    </row>
    <row r="5" spans="1:6" ht="72" customHeight="1">
      <c r="A5" s="2908" t="s">
        <v>3971</v>
      </c>
      <c r="B5" s="2909" t="s">
        <v>3770</v>
      </c>
      <c r="C5" s="2909"/>
      <c r="D5" s="2909"/>
      <c r="E5" s="2909"/>
      <c r="F5" s="2909"/>
    </row>
    <row r="6" spans="1:6" ht="6.6" customHeight="1">
      <c r="A6" s="2908"/>
      <c r="B6" s="2909"/>
      <c r="C6" s="2909"/>
      <c r="D6" s="2909"/>
      <c r="E6" s="2909"/>
      <c r="F6" s="2909"/>
    </row>
    <row r="7" spans="1:6" ht="72" customHeight="1">
      <c r="A7" s="2908"/>
      <c r="B7" s="2909"/>
      <c r="C7" s="2909"/>
      <c r="D7" s="2909"/>
      <c r="E7" s="2909"/>
      <c r="F7" s="2909"/>
    </row>
    <row r="8" spans="1:6" ht="6.6" customHeight="1">
      <c r="A8" s="2908"/>
    </row>
    <row r="9" spans="1:6" ht="72" customHeight="1">
      <c r="A9" s="2908"/>
    </row>
    <row r="10" spans="1:6" ht="6.6" customHeight="1">
      <c r="A10" s="2908"/>
    </row>
    <row r="11" spans="1:6" ht="72" customHeight="1">
      <c r="A11" s="2908"/>
    </row>
    <row r="12" spans="1:6" ht="6.6" customHeight="1">
      <c r="A12" s="2908"/>
    </row>
    <row r="13" spans="1:6" ht="72" customHeight="1">
      <c r="A13" s="2908"/>
    </row>
    <row r="14" spans="1:6" ht="6.6" customHeight="1">
      <c r="A14" s="2908"/>
    </row>
    <row r="15" spans="1:6" ht="72" customHeight="1">
      <c r="A15" s="2908"/>
    </row>
    <row r="16" spans="1:6" ht="6.6" customHeight="1">
      <c r="A16" s="2908"/>
    </row>
    <row r="17" spans="1:1" ht="72" customHeight="1">
      <c r="A17" s="2908"/>
    </row>
    <row r="18" spans="1:1" ht="6.6" customHeight="1">
      <c r="A18" s="2908"/>
    </row>
    <row r="19" spans="1:1" ht="72" customHeight="1">
      <c r="A19" s="2908"/>
    </row>
    <row r="20" spans="1:1" ht="6.6" customHeight="1">
      <c r="A20" s="2908"/>
    </row>
    <row r="21" spans="1:1" ht="72" customHeight="1">
      <c r="A21" s="2908"/>
    </row>
    <row r="22" spans="1:1" ht="6.6" customHeight="1">
      <c r="A22" s="2908"/>
    </row>
    <row r="23" spans="1:1" ht="72" customHeight="1">
      <c r="A23" s="290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29" zoomScale="110" zoomScaleNormal="11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4289</v>
      </c>
      <c r="C1" s="1631" t="s">
        <v>164</v>
      </c>
      <c r="D1" s="1631" t="s">
        <v>166</v>
      </c>
      <c r="E1" s="1631" t="s">
        <v>4290</v>
      </c>
      <c r="F1" s="1631" t="s">
        <v>4291</v>
      </c>
      <c r="G1" s="1631" t="s">
        <v>4292</v>
      </c>
      <c r="H1" s="1631" t="s">
        <v>4293</v>
      </c>
      <c r="I1" s="1631" t="s">
        <v>4294</v>
      </c>
      <c r="J1" s="1631" t="s">
        <v>4295</v>
      </c>
      <c r="K1" s="1631" t="s">
        <v>3050</v>
      </c>
      <c r="L1" s="1631" t="s">
        <v>4296</v>
      </c>
      <c r="M1" s="1631" t="s">
        <v>4297</v>
      </c>
      <c r="N1" s="1631" t="s">
        <v>4298</v>
      </c>
      <c r="O1" s="1631" t="s">
        <v>4299</v>
      </c>
      <c r="P1" s="1631" t="s">
        <v>362</v>
      </c>
      <c r="Q1" s="1631" t="s">
        <v>4300</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9" t="str">
        <f>CONCATENATE("PART FOUR - PROJECTED REVENUES &amp; EXPENSES","  -  ",'Part I-Project Identification'!$O$7," ",'Part I-Project Identification'!$F$26,", ",'Part I-Project Identification'!F27,", ",'Part I-Project Identification'!J27," County")</f>
        <v>PART FOUR - PROJECTED REVENUES &amp; EXPENSES  -  2024-0 Wesley Square, Norcross, Gwinnett County</v>
      </c>
      <c r="B2" s="3540"/>
      <c r="C2" s="3540"/>
      <c r="D2" s="3540"/>
      <c r="E2" s="3540"/>
      <c r="F2" s="3540"/>
      <c r="G2" s="3540"/>
      <c r="H2" s="3540"/>
      <c r="I2" s="3540"/>
      <c r="J2" s="3540"/>
      <c r="K2" s="3540"/>
      <c r="L2" s="3540"/>
      <c r="M2" s="3540"/>
      <c r="N2" s="3540"/>
      <c r="O2" s="3540"/>
      <c r="P2" s="3540"/>
      <c r="Q2" s="3541"/>
      <c r="T2" s="1363" t="str">
        <f>A2</f>
        <v>PART FOUR - PROJECTED REVENUES &amp; EXPENSES  -  2024-0 Wesley Square, Norcross, Gwinnett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3993</v>
      </c>
      <c r="E4" s="1430"/>
      <c r="F4" s="1430"/>
      <c r="G4" s="1430"/>
      <c r="H4" s="1430"/>
      <c r="I4" s="1430"/>
      <c r="J4" s="1430"/>
      <c r="K4" s="93"/>
      <c r="L4" s="93"/>
      <c r="M4" s="93"/>
      <c r="O4" s="153" t="s">
        <v>533</v>
      </c>
      <c r="P4" s="3542" t="str">
        <f>'Part I-Project Identification'!$O$29</f>
        <v>Atlanta-Sandy Springs-Marietta</v>
      </c>
      <c r="Q4" s="3542"/>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20" t="s">
        <v>2962</v>
      </c>
      <c r="MG4" s="3520" t="s">
        <v>2963</v>
      </c>
      <c r="MH4" s="3520" t="s">
        <v>2964</v>
      </c>
      <c r="MI4" s="3520" t="s">
        <v>2965</v>
      </c>
      <c r="MJ4" s="3520"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7" t="s">
        <v>3118</v>
      </c>
      <c r="R5" s="817"/>
      <c r="S5" s="336"/>
      <c r="T5" s="336"/>
      <c r="U5" s="336"/>
      <c r="W5" s="337"/>
      <c r="X5" s="3521" t="s">
        <v>3560</v>
      </c>
      <c r="Y5" s="3521" t="s">
        <v>3561</v>
      </c>
      <c r="Z5" s="3521" t="s">
        <v>3562</v>
      </c>
      <c r="AA5" s="3521" t="s">
        <v>3563</v>
      </c>
      <c r="AB5" s="3521" t="s">
        <v>3564</v>
      </c>
      <c r="AC5" s="3521" t="s">
        <v>3565</v>
      </c>
      <c r="AD5" s="3521" t="s">
        <v>3566</v>
      </c>
      <c r="AE5" s="3521" t="s">
        <v>3567</v>
      </c>
      <c r="AF5" s="3521" t="s">
        <v>3568</v>
      </c>
      <c r="AG5" s="3521" t="s">
        <v>3569</v>
      </c>
      <c r="AH5" s="3521" t="s">
        <v>860</v>
      </c>
      <c r="AI5" s="3521" t="s">
        <v>704</v>
      </c>
      <c r="AJ5" s="3521" t="s">
        <v>705</v>
      </c>
      <c r="AK5" s="3521" t="s">
        <v>706</v>
      </c>
      <c r="AL5" s="3521" t="s">
        <v>707</v>
      </c>
      <c r="AM5" s="3521" t="s">
        <v>861</v>
      </c>
      <c r="AN5" s="3521" t="s">
        <v>2125</v>
      </c>
      <c r="AO5" s="3521" t="s">
        <v>2126</v>
      </c>
      <c r="AP5" s="3521" t="s">
        <v>2127</v>
      </c>
      <c r="AQ5" s="3521" t="s">
        <v>2128</v>
      </c>
      <c r="AR5" s="3521" t="s">
        <v>3571</v>
      </c>
      <c r="AS5" s="3521" t="s">
        <v>3572</v>
      </c>
      <c r="AT5" s="3521" t="s">
        <v>3573</v>
      </c>
      <c r="AU5" s="3521" t="s">
        <v>3574</v>
      </c>
      <c r="AV5" s="3521" t="s">
        <v>3570</v>
      </c>
      <c r="AW5" s="3521" t="s">
        <v>862</v>
      </c>
      <c r="AX5" s="3521" t="s">
        <v>2129</v>
      </c>
      <c r="AY5" s="3521" t="s">
        <v>2130</v>
      </c>
      <c r="AZ5" s="3521" t="s">
        <v>2131</v>
      </c>
      <c r="BA5" s="3521" t="s">
        <v>2132</v>
      </c>
      <c r="BB5" s="3521" t="s">
        <v>3575</v>
      </c>
      <c r="BC5" s="3521" t="s">
        <v>3576</v>
      </c>
      <c r="BD5" s="3521" t="s">
        <v>3577</v>
      </c>
      <c r="BE5" s="3521" t="s">
        <v>3578</v>
      </c>
      <c r="BF5" s="3521" t="s">
        <v>3579</v>
      </c>
      <c r="BG5" s="3521" t="s">
        <v>123</v>
      </c>
      <c r="BH5" s="3521" t="s">
        <v>2133</v>
      </c>
      <c r="BI5" s="3521" t="s">
        <v>2134</v>
      </c>
      <c r="BJ5" s="3521" t="s">
        <v>2135</v>
      </c>
      <c r="BK5" s="3521" t="s">
        <v>1079</v>
      </c>
      <c r="BL5" s="3521" t="s">
        <v>3580</v>
      </c>
      <c r="BM5" s="3521" t="s">
        <v>3581</v>
      </c>
      <c r="BN5" s="3521" t="s">
        <v>3582</v>
      </c>
      <c r="BO5" s="3521" t="s">
        <v>3583</v>
      </c>
      <c r="BP5" s="3521" t="s">
        <v>3584</v>
      </c>
      <c r="BQ5" s="3521" t="s">
        <v>516</v>
      </c>
      <c r="BR5" s="3521" t="s">
        <v>517</v>
      </c>
      <c r="BS5" s="3521" t="s">
        <v>534</v>
      </c>
      <c r="BT5" s="3521" t="s">
        <v>535</v>
      </c>
      <c r="BU5" s="3521" t="s">
        <v>536</v>
      </c>
      <c r="BV5" s="3521" t="s">
        <v>3585</v>
      </c>
      <c r="BW5" s="3521" t="s">
        <v>3586</v>
      </c>
      <c r="BX5" s="3521" t="s">
        <v>3587</v>
      </c>
      <c r="BY5" s="3521" t="s">
        <v>3588</v>
      </c>
      <c r="BZ5" s="3521" t="s">
        <v>3589</v>
      </c>
      <c r="CA5" s="3521" t="s">
        <v>537</v>
      </c>
      <c r="CB5" s="3521" t="s">
        <v>538</v>
      </c>
      <c r="CC5" s="3521" t="s">
        <v>539</v>
      </c>
      <c r="CD5" s="3521" t="s">
        <v>540</v>
      </c>
      <c r="CE5" s="3521" t="s">
        <v>541</v>
      </c>
      <c r="CF5" s="3521" t="s">
        <v>542</v>
      </c>
      <c r="CG5" s="3521" t="s">
        <v>543</v>
      </c>
      <c r="CH5" s="3521" t="s">
        <v>871</v>
      </c>
      <c r="CI5" s="3521" t="s">
        <v>872</v>
      </c>
      <c r="CJ5" s="3521" t="s">
        <v>873</v>
      </c>
      <c r="CK5" s="3521" t="s">
        <v>3595</v>
      </c>
      <c r="CL5" s="3521" t="s">
        <v>3596</v>
      </c>
      <c r="CM5" s="3521" t="s">
        <v>3597</v>
      </c>
      <c r="CN5" s="3521" t="s">
        <v>3598</v>
      </c>
      <c r="CO5" s="3521" t="s">
        <v>3599</v>
      </c>
      <c r="CP5" s="3521" t="s">
        <v>3590</v>
      </c>
      <c r="CQ5" s="3521" t="s">
        <v>3591</v>
      </c>
      <c r="CR5" s="3521" t="s">
        <v>3592</v>
      </c>
      <c r="CS5" s="3521" t="s">
        <v>3593</v>
      </c>
      <c r="CT5" s="3521" t="s">
        <v>3594</v>
      </c>
      <c r="CU5" s="3521" t="s">
        <v>3600</v>
      </c>
      <c r="CV5" s="3521" t="s">
        <v>3601</v>
      </c>
      <c r="CW5" s="3521" t="s">
        <v>3602</v>
      </c>
      <c r="CX5" s="3521" t="s">
        <v>3603</v>
      </c>
      <c r="CY5" s="3521" t="s">
        <v>3604</v>
      </c>
      <c r="CZ5" s="3521" t="s">
        <v>465</v>
      </c>
      <c r="DA5" s="3521" t="s">
        <v>466</v>
      </c>
      <c r="DB5" s="3521" t="s">
        <v>467</v>
      </c>
      <c r="DC5" s="3521" t="s">
        <v>468</v>
      </c>
      <c r="DD5" s="3521" t="s">
        <v>469</v>
      </c>
      <c r="DE5" s="3521" t="s">
        <v>3605</v>
      </c>
      <c r="DF5" s="3521" t="s">
        <v>3606</v>
      </c>
      <c r="DG5" s="3521" t="s">
        <v>3607</v>
      </c>
      <c r="DH5" s="3521" t="s">
        <v>3608</v>
      </c>
      <c r="DI5" s="3521" t="s">
        <v>3609</v>
      </c>
      <c r="DJ5" s="3521" t="s">
        <v>821</v>
      </c>
      <c r="DK5" s="3521" t="s">
        <v>822</v>
      </c>
      <c r="DL5" s="3521" t="s">
        <v>823</v>
      </c>
      <c r="DM5" s="3521" t="s">
        <v>824</v>
      </c>
      <c r="DN5" s="3521" t="s">
        <v>825</v>
      </c>
      <c r="DO5" s="3521" t="s">
        <v>826</v>
      </c>
      <c r="DP5" s="3521" t="s">
        <v>827</v>
      </c>
      <c r="DQ5" s="3521" t="s">
        <v>828</v>
      </c>
      <c r="DR5" s="3521" t="s">
        <v>829</v>
      </c>
      <c r="DS5" s="3521" t="s">
        <v>830</v>
      </c>
      <c r="DT5" s="3521" t="s">
        <v>3610</v>
      </c>
      <c r="DU5" s="3521" t="s">
        <v>3611</v>
      </c>
      <c r="DV5" s="3521" t="s">
        <v>3612</v>
      </c>
      <c r="DW5" s="3521" t="s">
        <v>3613</v>
      </c>
      <c r="DX5" s="3521" t="s">
        <v>3614</v>
      </c>
      <c r="DY5" s="3521" t="s">
        <v>3615</v>
      </c>
      <c r="DZ5" s="3521" t="s">
        <v>3616</v>
      </c>
      <c r="EA5" s="3521" t="s">
        <v>3617</v>
      </c>
      <c r="EB5" s="3521" t="s">
        <v>3618</v>
      </c>
      <c r="EC5" s="3521" t="s">
        <v>3619</v>
      </c>
      <c r="ED5" s="3521" t="s">
        <v>2229</v>
      </c>
      <c r="EE5" s="3521" t="s">
        <v>2230</v>
      </c>
      <c r="EF5" s="3521" t="s">
        <v>2231</v>
      </c>
      <c r="EG5" s="3521" t="s">
        <v>2232</v>
      </c>
      <c r="EH5" s="3521" t="s">
        <v>2233</v>
      </c>
      <c r="EI5" s="3521" t="s">
        <v>3620</v>
      </c>
      <c r="EJ5" s="3521" t="s">
        <v>3621</v>
      </c>
      <c r="EK5" s="3521" t="s">
        <v>3622</v>
      </c>
      <c r="EL5" s="3521" t="s">
        <v>3623</v>
      </c>
      <c r="EM5" s="3521" t="s">
        <v>3624</v>
      </c>
      <c r="EN5" s="3521" t="s">
        <v>3625</v>
      </c>
      <c r="EO5" s="3521" t="s">
        <v>3626</v>
      </c>
      <c r="EP5" s="3521" t="s">
        <v>3627</v>
      </c>
      <c r="EQ5" s="3521" t="s">
        <v>3628</v>
      </c>
      <c r="ER5" s="3521" t="s">
        <v>3629</v>
      </c>
      <c r="ES5" s="3521" t="s">
        <v>111</v>
      </c>
      <c r="ET5" s="3521" t="s">
        <v>1082</v>
      </c>
      <c r="EU5" s="3521" t="s">
        <v>1083</v>
      </c>
      <c r="EV5" s="3521" t="s">
        <v>1138</v>
      </c>
      <c r="EW5" s="3521" t="s">
        <v>1139</v>
      </c>
      <c r="EX5" s="3521" t="s">
        <v>126</v>
      </c>
      <c r="EY5" s="3521" t="s">
        <v>1140</v>
      </c>
      <c r="EZ5" s="3521" t="s">
        <v>1141</v>
      </c>
      <c r="FA5" s="3521" t="s">
        <v>1142</v>
      </c>
      <c r="FB5" s="3521" t="s">
        <v>1143</v>
      </c>
      <c r="FC5" s="3521" t="s">
        <v>3630</v>
      </c>
      <c r="FD5" s="3521" t="s">
        <v>3631</v>
      </c>
      <c r="FE5" s="3521" t="s">
        <v>3632</v>
      </c>
      <c r="FF5" s="3521" t="s">
        <v>3633</v>
      </c>
      <c r="FG5" s="3521" t="s">
        <v>3634</v>
      </c>
      <c r="FH5" s="3521" t="s">
        <v>125</v>
      </c>
      <c r="FI5" s="3521" t="s">
        <v>852</v>
      </c>
      <c r="FJ5" s="3521" t="s">
        <v>853</v>
      </c>
      <c r="FK5" s="3521" t="s">
        <v>854</v>
      </c>
      <c r="FL5" s="3521" t="s">
        <v>855</v>
      </c>
      <c r="FM5" s="3521" t="s">
        <v>3635</v>
      </c>
      <c r="FN5" s="3521" t="s">
        <v>3636</v>
      </c>
      <c r="FO5" s="3521" t="s">
        <v>3637</v>
      </c>
      <c r="FP5" s="3521" t="s">
        <v>3638</v>
      </c>
      <c r="FQ5" s="3521" t="s">
        <v>3639</v>
      </c>
      <c r="FR5" s="3521" t="s">
        <v>124</v>
      </c>
      <c r="FS5" s="3521" t="s">
        <v>856</v>
      </c>
      <c r="FT5" s="3521" t="s">
        <v>857</v>
      </c>
      <c r="FU5" s="3521" t="s">
        <v>858</v>
      </c>
      <c r="FV5" s="3521" t="s">
        <v>859</v>
      </c>
      <c r="FW5" s="3521" t="s">
        <v>751</v>
      </c>
      <c r="FX5" s="3521" t="s">
        <v>752</v>
      </c>
      <c r="FY5" s="3521" t="s">
        <v>753</v>
      </c>
      <c r="FZ5" s="3521" t="s">
        <v>754</v>
      </c>
      <c r="GA5" s="3521" t="s">
        <v>755</v>
      </c>
      <c r="GB5" s="3521" t="s">
        <v>895</v>
      </c>
      <c r="GC5" s="3521" t="s">
        <v>896</v>
      </c>
      <c r="GD5" s="3521" t="s">
        <v>897</v>
      </c>
      <c r="GE5" s="3521" t="s">
        <v>898</v>
      </c>
      <c r="GF5" s="3521" t="s">
        <v>2228</v>
      </c>
      <c r="GG5" s="3521" t="s">
        <v>1342</v>
      </c>
      <c r="GH5" s="3521" t="s">
        <v>1343</v>
      </c>
      <c r="GI5" s="3521" t="s">
        <v>1344</v>
      </c>
      <c r="GJ5" s="3521" t="s">
        <v>1345</v>
      </c>
      <c r="GK5" s="3521" t="s">
        <v>1346</v>
      </c>
      <c r="GL5" s="3521" t="s">
        <v>410</v>
      </c>
      <c r="GM5" s="3521" t="s">
        <v>411</v>
      </c>
      <c r="GN5" s="3521" t="s">
        <v>412</v>
      </c>
      <c r="GO5" s="3521" t="s">
        <v>413</v>
      </c>
      <c r="GP5" s="3521" t="s">
        <v>414</v>
      </c>
      <c r="GQ5" s="3521" t="s">
        <v>14</v>
      </c>
      <c r="GR5" s="3521" t="s">
        <v>15</v>
      </c>
      <c r="GS5" s="3521" t="s">
        <v>16</v>
      </c>
      <c r="GT5" s="3521" t="s">
        <v>17</v>
      </c>
      <c r="GU5" s="3521" t="s">
        <v>18</v>
      </c>
      <c r="GV5" s="3521" t="s">
        <v>214</v>
      </c>
      <c r="GW5" s="3521" t="s">
        <v>215</v>
      </c>
      <c r="GX5" s="3521" t="s">
        <v>216</v>
      </c>
      <c r="GY5" s="3521" t="s">
        <v>1675</v>
      </c>
      <c r="GZ5" s="3521" t="s">
        <v>1676</v>
      </c>
      <c r="HA5" s="3521" t="s">
        <v>1677</v>
      </c>
      <c r="HB5" s="3521" t="s">
        <v>549</v>
      </c>
      <c r="HC5" s="3521" t="s">
        <v>550</v>
      </c>
      <c r="HD5" s="3521" t="s">
        <v>551</v>
      </c>
      <c r="HE5" s="3521" t="s">
        <v>552</v>
      </c>
      <c r="HF5" s="3521" t="s">
        <v>19</v>
      </c>
      <c r="HG5" s="3521" t="s">
        <v>20</v>
      </c>
      <c r="HH5" s="3521" t="s">
        <v>21</v>
      </c>
      <c r="HI5" s="3521" t="s">
        <v>22</v>
      </c>
      <c r="HJ5" s="3521" t="s">
        <v>23</v>
      </c>
      <c r="HK5" s="3521" t="s">
        <v>464</v>
      </c>
      <c r="HL5" s="3521" t="s">
        <v>406</v>
      </c>
      <c r="HM5" s="3521" t="s">
        <v>407</v>
      </c>
      <c r="HN5" s="3521" t="s">
        <v>408</v>
      </c>
      <c r="HO5" s="3521" t="s">
        <v>409</v>
      </c>
      <c r="HP5" s="3521" t="s">
        <v>2037</v>
      </c>
      <c r="HQ5" s="3521" t="s">
        <v>2038</v>
      </c>
      <c r="HR5" s="3521" t="s">
        <v>2039</v>
      </c>
      <c r="HS5" s="3521" t="s">
        <v>1383</v>
      </c>
      <c r="HT5" s="3521" t="s">
        <v>1384</v>
      </c>
      <c r="HU5" s="3521" t="s">
        <v>24</v>
      </c>
      <c r="HV5" s="3521" t="s">
        <v>25</v>
      </c>
      <c r="HW5" s="3521" t="s">
        <v>26</v>
      </c>
      <c r="HX5" s="3521" t="s">
        <v>27</v>
      </c>
      <c r="HY5" s="3521"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20" t="s">
        <v>1516</v>
      </c>
      <c r="LH5" s="3520" t="s">
        <v>2315</v>
      </c>
      <c r="LI5" s="3520" t="s">
        <v>2316</v>
      </c>
      <c r="LJ5" s="3520" t="s">
        <v>363</v>
      </c>
      <c r="LK5" s="3520" t="s">
        <v>364</v>
      </c>
      <c r="LL5" s="3520" t="s">
        <v>365</v>
      </c>
      <c r="LM5" s="3520" t="s">
        <v>366</v>
      </c>
      <c r="LN5" s="3520" t="s">
        <v>367</v>
      </c>
      <c r="LO5" s="3520" t="s">
        <v>368</v>
      </c>
      <c r="LP5" s="3520" t="s">
        <v>369</v>
      </c>
      <c r="LQ5" s="3520" t="s">
        <v>195</v>
      </c>
      <c r="LR5" s="3520" t="s">
        <v>196</v>
      </c>
      <c r="LS5" s="3520" t="s">
        <v>197</v>
      </c>
      <c r="LT5" s="3520" t="s">
        <v>198</v>
      </c>
      <c r="LU5" s="3520" t="s">
        <v>199</v>
      </c>
      <c r="LV5" s="3520" t="s">
        <v>200</v>
      </c>
      <c r="LW5" s="3520" t="s">
        <v>201</v>
      </c>
      <c r="LX5" s="3520" t="s">
        <v>202</v>
      </c>
      <c r="LY5" s="3520" t="s">
        <v>203</v>
      </c>
      <c r="LZ5" s="3520" t="s">
        <v>204</v>
      </c>
      <c r="MA5" s="3520" t="s">
        <v>205</v>
      </c>
      <c r="MB5" s="3520" t="s">
        <v>206</v>
      </c>
      <c r="MC5" s="3520" t="s">
        <v>207</v>
      </c>
      <c r="MD5" s="3520" t="s">
        <v>208</v>
      </c>
      <c r="ME5" s="3520" t="s">
        <v>209</v>
      </c>
      <c r="MF5" s="3520"/>
      <c r="MG5" s="3520"/>
      <c r="MH5" s="3520"/>
      <c r="MI5" s="3520"/>
      <c r="MJ5" s="3520"/>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3" t="str">
        <f>IF(A49&gt;0,"Finish Row!","")</f>
        <v/>
      </c>
      <c r="B6" s="141" t="s">
        <v>3994</v>
      </c>
      <c r="D6" s="1430"/>
      <c r="E6" s="1430"/>
      <c r="F6" s="1430"/>
      <c r="G6" s="1152" t="s">
        <v>194</v>
      </c>
      <c r="H6" s="3534" t="s">
        <v>3996</v>
      </c>
      <c r="I6" s="3535"/>
      <c r="J6" s="3535"/>
      <c r="K6" s="674" t="s">
        <v>3050</v>
      </c>
      <c r="L6" s="3536" t="str">
        <f>'Part I-Project Identification'!$A$6</f>
        <v>2024 May 7</v>
      </c>
      <c r="M6" s="3536"/>
      <c r="N6" s="3536"/>
      <c r="O6" s="1629" t="s">
        <v>3976</v>
      </c>
      <c r="P6" s="1420">
        <v>106600</v>
      </c>
      <c r="Q6" s="3537"/>
      <c r="R6" s="817"/>
      <c r="S6" s="72"/>
      <c r="U6" s="72"/>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21"/>
      <c r="ES6" s="3521"/>
      <c r="ET6" s="3521"/>
      <c r="EU6" s="3521"/>
      <c r="EV6" s="3521"/>
      <c r="EW6" s="3521"/>
      <c r="EX6" s="3521"/>
      <c r="EY6" s="3521"/>
      <c r="EZ6" s="3521"/>
      <c r="FA6" s="3521"/>
      <c r="FB6" s="3521"/>
      <c r="FC6" s="3521"/>
      <c r="FD6" s="3521"/>
      <c r="FE6" s="3521"/>
      <c r="FF6" s="3521"/>
      <c r="FG6" s="3521"/>
      <c r="FH6" s="3521"/>
      <c r="FI6" s="3521"/>
      <c r="FJ6" s="3521"/>
      <c r="FK6" s="3521"/>
      <c r="FL6" s="3521"/>
      <c r="FM6" s="3521"/>
      <c r="FN6" s="3521"/>
      <c r="FO6" s="3521"/>
      <c r="FP6" s="3521"/>
      <c r="FQ6" s="3521"/>
      <c r="FR6" s="3521"/>
      <c r="FS6" s="3521"/>
      <c r="FT6" s="3521"/>
      <c r="FU6" s="3521"/>
      <c r="FV6" s="3521"/>
      <c r="FW6" s="3521"/>
      <c r="FX6" s="3521"/>
      <c r="FY6" s="3521"/>
      <c r="FZ6" s="3521"/>
      <c r="GA6" s="3521"/>
      <c r="GB6" s="3521"/>
      <c r="GC6" s="3521"/>
      <c r="GD6" s="3521"/>
      <c r="GE6" s="3521"/>
      <c r="GF6" s="3521"/>
      <c r="GG6" s="3521"/>
      <c r="GH6" s="3521"/>
      <c r="GI6" s="3521"/>
      <c r="GJ6" s="3521"/>
      <c r="GK6" s="3521"/>
      <c r="GL6" s="3521"/>
      <c r="GM6" s="3521"/>
      <c r="GN6" s="3521"/>
      <c r="GO6" s="3521"/>
      <c r="GP6" s="3521"/>
      <c r="GQ6" s="3521"/>
      <c r="GR6" s="3521"/>
      <c r="GS6" s="3521"/>
      <c r="GT6" s="3521"/>
      <c r="GU6" s="3521"/>
      <c r="GV6" s="3521"/>
      <c r="GW6" s="3521"/>
      <c r="GX6" s="3521"/>
      <c r="GY6" s="3521"/>
      <c r="GZ6" s="3521"/>
      <c r="HA6" s="3521"/>
      <c r="HB6" s="3521"/>
      <c r="HC6" s="3521"/>
      <c r="HD6" s="3521"/>
      <c r="HE6" s="3521"/>
      <c r="HF6" s="3521"/>
      <c r="HG6" s="3521"/>
      <c r="HH6" s="3521"/>
      <c r="HI6" s="3521"/>
      <c r="HJ6" s="3521"/>
      <c r="HK6" s="3521"/>
      <c r="HL6" s="3521"/>
      <c r="HM6" s="3521"/>
      <c r="HN6" s="3521"/>
      <c r="HO6" s="3521"/>
      <c r="HP6" s="3521"/>
      <c r="HQ6" s="3521"/>
      <c r="HR6" s="3521"/>
      <c r="HS6" s="3521"/>
      <c r="HT6" s="3521"/>
      <c r="HU6" s="3521"/>
      <c r="HV6" s="3521"/>
      <c r="HW6" s="3521"/>
      <c r="HX6" s="3521"/>
      <c r="HY6" s="3521"/>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20"/>
      <c r="LH6" s="3520"/>
      <c r="LI6" s="3520"/>
      <c r="LJ6" s="3520"/>
      <c r="LK6" s="3520"/>
      <c r="LL6" s="3520"/>
      <c r="LM6" s="3520"/>
      <c r="LN6" s="3520"/>
      <c r="LO6" s="3520"/>
      <c r="LP6" s="3520"/>
      <c r="LQ6" s="3520"/>
      <c r="LR6" s="3520"/>
      <c r="LS6" s="3520"/>
      <c r="LT6" s="3520"/>
      <c r="LU6" s="3520"/>
      <c r="LV6" s="3520"/>
      <c r="LW6" s="3520"/>
      <c r="LX6" s="3520"/>
      <c r="LY6" s="3520"/>
      <c r="LZ6" s="3520"/>
      <c r="MA6" s="3520"/>
      <c r="MB6" s="3520"/>
      <c r="MC6" s="3520"/>
      <c r="MD6" s="3520"/>
      <c r="ME6" s="3520"/>
      <c r="MF6" s="3520"/>
      <c r="MG6" s="3520"/>
      <c r="MH6" s="3520"/>
      <c r="MI6" s="3520"/>
      <c r="MJ6" s="3520"/>
      <c r="MK6" s="3564" t="s">
        <v>2957</v>
      </c>
      <c r="ML6" s="3564" t="s">
        <v>2958</v>
      </c>
      <c r="MM6" s="3564" t="s">
        <v>2959</v>
      </c>
      <c r="MN6" s="3564" t="s">
        <v>2960</v>
      </c>
      <c r="MO6" s="3564" t="s">
        <v>2961</v>
      </c>
      <c r="MP6" s="3520" t="s">
        <v>4176</v>
      </c>
      <c r="MQ6" s="3520" t="s">
        <v>4177</v>
      </c>
      <c r="MR6" s="3520" t="s">
        <v>4178</v>
      </c>
      <c r="MS6" s="3520" t="s">
        <v>4179</v>
      </c>
      <c r="MT6" s="3520" t="s">
        <v>4180</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3"/>
      <c r="B7" s="23" t="s">
        <v>3995</v>
      </c>
      <c r="E7" s="4"/>
      <c r="G7" s="1187" t="s">
        <v>2644</v>
      </c>
      <c r="I7" s="3522" t="s">
        <v>3938</v>
      </c>
      <c r="J7" s="674" t="s">
        <v>741</v>
      </c>
      <c r="K7" s="674" t="s">
        <v>3097</v>
      </c>
      <c r="L7" s="3536"/>
      <c r="M7" s="3536"/>
      <c r="N7" s="3536"/>
      <c r="O7" s="1630" t="s">
        <v>3975</v>
      </c>
      <c r="P7" s="1458">
        <v>45383</v>
      </c>
      <c r="Q7" s="3537"/>
      <c r="R7" s="3524" t="s">
        <v>2450</v>
      </c>
      <c r="S7" s="3524"/>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21"/>
      <c r="ES7" s="3521"/>
      <c r="ET7" s="3521"/>
      <c r="EU7" s="3521"/>
      <c r="EV7" s="3521"/>
      <c r="EW7" s="3521"/>
      <c r="EX7" s="3521"/>
      <c r="EY7" s="3521"/>
      <c r="EZ7" s="3521"/>
      <c r="FA7" s="3521"/>
      <c r="FB7" s="3521"/>
      <c r="FC7" s="3521"/>
      <c r="FD7" s="3521"/>
      <c r="FE7" s="3521"/>
      <c r="FF7" s="3521"/>
      <c r="FG7" s="3521"/>
      <c r="FH7" s="3521"/>
      <c r="FI7" s="3521"/>
      <c r="FJ7" s="3521"/>
      <c r="FK7" s="3521"/>
      <c r="FL7" s="3521"/>
      <c r="FM7" s="3521"/>
      <c r="FN7" s="3521"/>
      <c r="FO7" s="3521"/>
      <c r="FP7" s="3521"/>
      <c r="FQ7" s="3521"/>
      <c r="FR7" s="3521"/>
      <c r="FS7" s="3521"/>
      <c r="FT7" s="3521"/>
      <c r="FU7" s="3521"/>
      <c r="FV7" s="3521"/>
      <c r="FW7" s="3521"/>
      <c r="FX7" s="3521"/>
      <c r="FY7" s="3521"/>
      <c r="FZ7" s="3521"/>
      <c r="GA7" s="3521"/>
      <c r="GB7" s="3521"/>
      <c r="GC7" s="3521"/>
      <c r="GD7" s="3521"/>
      <c r="GE7" s="3521"/>
      <c r="GF7" s="3521"/>
      <c r="GG7" s="3521"/>
      <c r="GH7" s="3521"/>
      <c r="GI7" s="3521"/>
      <c r="GJ7" s="3521"/>
      <c r="GK7" s="3521"/>
      <c r="GL7" s="3521"/>
      <c r="GM7" s="3521"/>
      <c r="GN7" s="3521"/>
      <c r="GO7" s="3521"/>
      <c r="GP7" s="3521"/>
      <c r="GQ7" s="3521"/>
      <c r="GR7" s="3521"/>
      <c r="GS7" s="3521"/>
      <c r="GT7" s="3521"/>
      <c r="GU7" s="3521"/>
      <c r="GV7" s="3521"/>
      <c r="GW7" s="3521"/>
      <c r="GX7" s="3521"/>
      <c r="GY7" s="3521"/>
      <c r="GZ7" s="3521"/>
      <c r="HA7" s="3521"/>
      <c r="HB7" s="3521"/>
      <c r="HC7" s="3521"/>
      <c r="HD7" s="3521"/>
      <c r="HE7" s="3521"/>
      <c r="HF7" s="3521"/>
      <c r="HG7" s="3521"/>
      <c r="HH7" s="3521"/>
      <c r="HI7" s="3521"/>
      <c r="HJ7" s="3521"/>
      <c r="HK7" s="3521"/>
      <c r="HL7" s="3521"/>
      <c r="HM7" s="3521"/>
      <c r="HN7" s="3521"/>
      <c r="HO7" s="3521"/>
      <c r="HP7" s="3521"/>
      <c r="HQ7" s="3521"/>
      <c r="HR7" s="3521"/>
      <c r="HS7" s="3521"/>
      <c r="HT7" s="3521"/>
      <c r="HU7" s="3521"/>
      <c r="HV7" s="3521"/>
      <c r="HW7" s="3521"/>
      <c r="HX7" s="3521"/>
      <c r="HY7" s="3521"/>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20"/>
      <c r="LH7" s="3520"/>
      <c r="LI7" s="3520"/>
      <c r="LJ7" s="3520"/>
      <c r="LK7" s="3520"/>
      <c r="LL7" s="3520"/>
      <c r="LM7" s="3520"/>
      <c r="LN7" s="3520"/>
      <c r="LO7" s="3520"/>
      <c r="LP7" s="3520"/>
      <c r="LQ7" s="3520"/>
      <c r="LR7" s="3520"/>
      <c r="LS7" s="3520"/>
      <c r="LT7" s="3520"/>
      <c r="LU7" s="3520"/>
      <c r="LV7" s="3520"/>
      <c r="LW7" s="3520"/>
      <c r="LX7" s="3520"/>
      <c r="LY7" s="3520"/>
      <c r="LZ7" s="3520"/>
      <c r="MA7" s="3520"/>
      <c r="MB7" s="3520"/>
      <c r="MC7" s="3520"/>
      <c r="MD7" s="3520"/>
      <c r="ME7" s="3520"/>
      <c r="MF7" s="3520"/>
      <c r="MG7" s="3520"/>
      <c r="MH7" s="3520"/>
      <c r="MI7" s="3520"/>
      <c r="MJ7" s="3520"/>
      <c r="MK7" s="3564"/>
      <c r="ML7" s="3564"/>
      <c r="MM7" s="3564"/>
      <c r="MN7" s="3564"/>
      <c r="MO7" s="3564"/>
      <c r="MP7" s="3520"/>
      <c r="MQ7" s="3520"/>
      <c r="MR7" s="3520"/>
      <c r="MS7" s="3520"/>
      <c r="MT7" s="3520"/>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3"/>
      <c r="B8" s="818" t="s">
        <v>3642</v>
      </c>
      <c r="C8" s="1"/>
      <c r="E8" s="1"/>
      <c r="F8" s="1"/>
      <c r="I8" s="3522"/>
      <c r="J8" s="674" t="s">
        <v>742</v>
      </c>
      <c r="K8" s="674" t="s">
        <v>3098</v>
      </c>
      <c r="L8" s="655"/>
      <c r="M8" s="655"/>
      <c r="N8" s="1628" t="s">
        <v>4375</v>
      </c>
      <c r="O8" s="3525" t="s">
        <v>5145</v>
      </c>
      <c r="P8" s="3526"/>
      <c r="Q8" s="3537"/>
      <c r="R8" s="656"/>
      <c r="S8" s="658" t="s">
        <v>2447</v>
      </c>
      <c r="T8" s="336"/>
      <c r="W8" s="337"/>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21"/>
      <c r="ES8" s="3521"/>
      <c r="ET8" s="3521"/>
      <c r="EU8" s="3521"/>
      <c r="EV8" s="3521"/>
      <c r="EW8" s="3521"/>
      <c r="EX8" s="3521"/>
      <c r="EY8" s="3521"/>
      <c r="EZ8" s="3521"/>
      <c r="FA8" s="3521"/>
      <c r="FB8" s="3521"/>
      <c r="FC8" s="3521"/>
      <c r="FD8" s="3521"/>
      <c r="FE8" s="3521"/>
      <c r="FF8" s="3521"/>
      <c r="FG8" s="3521"/>
      <c r="FH8" s="3521"/>
      <c r="FI8" s="3521"/>
      <c r="FJ8" s="3521"/>
      <c r="FK8" s="3521"/>
      <c r="FL8" s="3521"/>
      <c r="FM8" s="3521"/>
      <c r="FN8" s="3521"/>
      <c r="FO8" s="3521"/>
      <c r="FP8" s="3521"/>
      <c r="FQ8" s="3521"/>
      <c r="FR8" s="3521"/>
      <c r="FS8" s="3521"/>
      <c r="FT8" s="3521"/>
      <c r="FU8" s="3521"/>
      <c r="FV8" s="3521"/>
      <c r="FW8" s="3521"/>
      <c r="FX8" s="3521"/>
      <c r="FY8" s="3521"/>
      <c r="FZ8" s="3521"/>
      <c r="GA8" s="3521"/>
      <c r="GB8" s="3521"/>
      <c r="GC8" s="3521"/>
      <c r="GD8" s="3521"/>
      <c r="GE8" s="3521"/>
      <c r="GF8" s="3521"/>
      <c r="GG8" s="3521"/>
      <c r="GH8" s="3521"/>
      <c r="GI8" s="3521"/>
      <c r="GJ8" s="3521"/>
      <c r="GK8" s="3521"/>
      <c r="GL8" s="3521"/>
      <c r="GM8" s="3521"/>
      <c r="GN8" s="3521"/>
      <c r="GO8" s="3521"/>
      <c r="GP8" s="3521"/>
      <c r="GQ8" s="3521"/>
      <c r="GR8" s="3521"/>
      <c r="GS8" s="3521"/>
      <c r="GT8" s="3521"/>
      <c r="GU8" s="3521"/>
      <c r="GV8" s="3521"/>
      <c r="GW8" s="3521"/>
      <c r="GX8" s="3521"/>
      <c r="GY8" s="3521"/>
      <c r="GZ8" s="3521"/>
      <c r="HA8" s="3521"/>
      <c r="HB8" s="3521"/>
      <c r="HC8" s="3521"/>
      <c r="HD8" s="3521"/>
      <c r="HE8" s="3521"/>
      <c r="HF8" s="3521"/>
      <c r="HG8" s="3521"/>
      <c r="HH8" s="3521"/>
      <c r="HI8" s="3521"/>
      <c r="HJ8" s="3521"/>
      <c r="HK8" s="3521"/>
      <c r="HL8" s="3521"/>
      <c r="HM8" s="3521"/>
      <c r="HN8" s="3521"/>
      <c r="HO8" s="3521"/>
      <c r="HP8" s="3521"/>
      <c r="HQ8" s="3521"/>
      <c r="HR8" s="3521"/>
      <c r="HS8" s="3521"/>
      <c r="HT8" s="3521"/>
      <c r="HU8" s="3521"/>
      <c r="HV8" s="3521"/>
      <c r="HW8" s="3521"/>
      <c r="HX8" s="3521"/>
      <c r="HY8" s="3521"/>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20"/>
      <c r="LH8" s="3520"/>
      <c r="LI8" s="3520"/>
      <c r="LJ8" s="3520"/>
      <c r="LK8" s="3520"/>
      <c r="LL8" s="3520"/>
      <c r="LM8" s="3520"/>
      <c r="LN8" s="3520"/>
      <c r="LO8" s="3520"/>
      <c r="LP8" s="3520"/>
      <c r="LQ8" s="3520"/>
      <c r="LR8" s="3520"/>
      <c r="LS8" s="3520"/>
      <c r="LT8" s="3520"/>
      <c r="LU8" s="3520"/>
      <c r="LV8" s="3520"/>
      <c r="LW8" s="3520"/>
      <c r="LX8" s="3520"/>
      <c r="LY8" s="3520"/>
      <c r="LZ8" s="3520"/>
      <c r="MA8" s="3520"/>
      <c r="MB8" s="3520"/>
      <c r="MC8" s="3520"/>
      <c r="MD8" s="3520"/>
      <c r="ME8" s="3520"/>
      <c r="MF8" s="3520"/>
      <c r="MG8" s="3520"/>
      <c r="MH8" s="3520"/>
      <c r="MI8" s="3520"/>
      <c r="MJ8" s="3520"/>
      <c r="MK8" s="3564"/>
      <c r="ML8" s="3564"/>
      <c r="MM8" s="3564"/>
      <c r="MN8" s="3564"/>
      <c r="MO8" s="3564"/>
      <c r="MP8" s="3520"/>
      <c r="MQ8" s="3520"/>
      <c r="MR8" s="3520"/>
      <c r="MS8" s="3520"/>
      <c r="MT8" s="3520"/>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3"/>
      <c r="B9" s="1050" t="s">
        <v>3643</v>
      </c>
      <c r="C9" s="674" t="s">
        <v>165</v>
      </c>
      <c r="D9" s="674" t="s">
        <v>509</v>
      </c>
      <c r="E9" s="674" t="s">
        <v>1380</v>
      </c>
      <c r="F9" s="674" t="s">
        <v>1380</v>
      </c>
      <c r="G9" s="3522" t="s">
        <v>3991</v>
      </c>
      <c r="H9" s="817" t="s">
        <v>3216</v>
      </c>
      <c r="I9" s="3522"/>
      <c r="J9" s="3527" t="s">
        <v>3985</v>
      </c>
      <c r="K9" s="674" t="s">
        <v>2211</v>
      </c>
      <c r="L9" s="3529" t="s">
        <v>139</v>
      </c>
      <c r="M9" s="3530"/>
      <c r="N9" s="674" t="s">
        <v>2178</v>
      </c>
      <c r="O9" s="674" t="s">
        <v>4378</v>
      </c>
      <c r="P9" s="3531" t="s">
        <v>4140</v>
      </c>
      <c r="Q9" s="3537"/>
      <c r="R9" s="674" t="s">
        <v>2446</v>
      </c>
      <c r="S9" s="674" t="s">
        <v>2448</v>
      </c>
      <c r="T9" s="338"/>
      <c r="W9" s="339"/>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21"/>
      <c r="ES9" s="3521"/>
      <c r="ET9" s="3521"/>
      <c r="EU9" s="3521"/>
      <c r="EV9" s="3521"/>
      <c r="EW9" s="3521"/>
      <c r="EX9" s="3521"/>
      <c r="EY9" s="3521"/>
      <c r="EZ9" s="3521"/>
      <c r="FA9" s="3521"/>
      <c r="FB9" s="3521"/>
      <c r="FC9" s="3521"/>
      <c r="FD9" s="3521"/>
      <c r="FE9" s="3521"/>
      <c r="FF9" s="3521"/>
      <c r="FG9" s="3521"/>
      <c r="FH9" s="3521"/>
      <c r="FI9" s="3521"/>
      <c r="FJ9" s="3521"/>
      <c r="FK9" s="3521"/>
      <c r="FL9" s="3521"/>
      <c r="FM9" s="3521"/>
      <c r="FN9" s="3521"/>
      <c r="FO9" s="3521"/>
      <c r="FP9" s="3521"/>
      <c r="FQ9" s="3521"/>
      <c r="FR9" s="3521"/>
      <c r="FS9" s="3521"/>
      <c r="FT9" s="3521"/>
      <c r="FU9" s="3521"/>
      <c r="FV9" s="3521"/>
      <c r="FW9" s="3521"/>
      <c r="FX9" s="3521"/>
      <c r="FY9" s="3521"/>
      <c r="FZ9" s="3521"/>
      <c r="GA9" s="3521"/>
      <c r="GB9" s="3521"/>
      <c r="GC9" s="3521"/>
      <c r="GD9" s="3521"/>
      <c r="GE9" s="3521"/>
      <c r="GF9" s="3521"/>
      <c r="GG9" s="3521"/>
      <c r="GH9" s="3521"/>
      <c r="GI9" s="3521"/>
      <c r="GJ9" s="3521"/>
      <c r="GK9" s="3521"/>
      <c r="GL9" s="3521"/>
      <c r="GM9" s="3521"/>
      <c r="GN9" s="3521"/>
      <c r="GO9" s="3521"/>
      <c r="GP9" s="3521"/>
      <c r="GQ9" s="3521"/>
      <c r="GR9" s="3521"/>
      <c r="GS9" s="3521"/>
      <c r="GT9" s="3521"/>
      <c r="GU9" s="3521"/>
      <c r="GV9" s="3521"/>
      <c r="GW9" s="3521"/>
      <c r="GX9" s="3521"/>
      <c r="GY9" s="3521"/>
      <c r="GZ9" s="3521"/>
      <c r="HA9" s="3521"/>
      <c r="HB9" s="3521"/>
      <c r="HC9" s="3521"/>
      <c r="HD9" s="3521"/>
      <c r="HE9" s="3521"/>
      <c r="HF9" s="3521"/>
      <c r="HG9" s="3521"/>
      <c r="HH9" s="3521"/>
      <c r="HI9" s="3521"/>
      <c r="HJ9" s="3521"/>
      <c r="HK9" s="3521"/>
      <c r="HL9" s="3521"/>
      <c r="HM9" s="3521"/>
      <c r="HN9" s="3521"/>
      <c r="HO9" s="3521"/>
      <c r="HP9" s="3521"/>
      <c r="HQ9" s="3521"/>
      <c r="HR9" s="3521"/>
      <c r="HS9" s="3521"/>
      <c r="HT9" s="3521"/>
      <c r="HU9" s="3521"/>
      <c r="HV9" s="3521"/>
      <c r="HW9" s="3521"/>
      <c r="HX9" s="3521"/>
      <c r="HY9" s="3521"/>
      <c r="HZ9" s="3521" t="s">
        <v>1369</v>
      </c>
      <c r="IA9" s="869" t="s">
        <v>2239</v>
      </c>
      <c r="IB9" s="869" t="s">
        <v>2240</v>
      </c>
      <c r="IC9" s="869" t="s">
        <v>2241</v>
      </c>
      <c r="ID9" s="869" t="s">
        <v>2242</v>
      </c>
      <c r="IE9" s="3521" t="s">
        <v>2293</v>
      </c>
      <c r="IF9" s="3521" t="s">
        <v>2293</v>
      </c>
      <c r="IG9" s="3521" t="s">
        <v>2293</v>
      </c>
      <c r="IH9" s="3521" t="s">
        <v>2293</v>
      </c>
      <c r="II9" s="3521" t="s">
        <v>2293</v>
      </c>
      <c r="IJ9" s="3521" t="s">
        <v>2928</v>
      </c>
      <c r="IK9" s="3521" t="s">
        <v>2928</v>
      </c>
      <c r="IL9" s="3521" t="s">
        <v>2928</v>
      </c>
      <c r="IM9" s="3521" t="s">
        <v>2928</v>
      </c>
      <c r="IN9" s="3521" t="s">
        <v>2928</v>
      </c>
      <c r="IO9" s="869" t="s">
        <v>525</v>
      </c>
      <c r="IP9" s="869" t="s">
        <v>2239</v>
      </c>
      <c r="IQ9" s="869" t="s">
        <v>2240</v>
      </c>
      <c r="IR9" s="869" t="s">
        <v>2241</v>
      </c>
      <c r="IS9" s="869" t="s">
        <v>2242</v>
      </c>
      <c r="IT9" s="869" t="s">
        <v>525</v>
      </c>
      <c r="IU9" s="869" t="s">
        <v>2239</v>
      </c>
      <c r="IV9" s="869" t="s">
        <v>2240</v>
      </c>
      <c r="IW9" s="869" t="s">
        <v>2241</v>
      </c>
      <c r="IX9" s="869" t="s">
        <v>2242</v>
      </c>
      <c r="IY9" s="3521" t="s">
        <v>4181</v>
      </c>
      <c r="IZ9" s="3521" t="s">
        <v>4181</v>
      </c>
      <c r="JA9" s="3521" t="s">
        <v>4181</v>
      </c>
      <c r="JB9" s="3521" t="s">
        <v>4181</v>
      </c>
      <c r="JC9" s="3521" t="s">
        <v>4181</v>
      </c>
      <c r="JD9" s="3521" t="s">
        <v>4182</v>
      </c>
      <c r="JE9" s="3521" t="s">
        <v>4182</v>
      </c>
      <c r="JF9" s="3521" t="s">
        <v>4182</v>
      </c>
      <c r="JG9" s="3521" t="s">
        <v>4182</v>
      </c>
      <c r="JH9" s="3521" t="s">
        <v>4182</v>
      </c>
      <c r="JI9" s="3521" t="s">
        <v>4184</v>
      </c>
      <c r="JJ9" s="3521" t="s">
        <v>4184</v>
      </c>
      <c r="JK9" s="3521" t="s">
        <v>4184</v>
      </c>
      <c r="JL9" s="3521" t="s">
        <v>4184</v>
      </c>
      <c r="JM9" s="3521" t="s">
        <v>4184</v>
      </c>
      <c r="JN9" s="3521" t="s">
        <v>4185</v>
      </c>
      <c r="JO9" s="3521" t="s">
        <v>4185</v>
      </c>
      <c r="JP9" s="3521" t="s">
        <v>4185</v>
      </c>
      <c r="JQ9" s="3521" t="s">
        <v>4185</v>
      </c>
      <c r="JR9" s="3521" t="s">
        <v>4185</v>
      </c>
      <c r="JS9" s="3521" t="s">
        <v>4186</v>
      </c>
      <c r="JT9" s="3521" t="s">
        <v>4186</v>
      </c>
      <c r="JU9" s="3521" t="s">
        <v>4186</v>
      </c>
      <c r="JV9" s="3521" t="s">
        <v>4186</v>
      </c>
      <c r="JW9" s="3521" t="s">
        <v>4186</v>
      </c>
      <c r="JX9" s="3521" t="s">
        <v>4379</v>
      </c>
      <c r="JY9" s="3521" t="s">
        <v>4379</v>
      </c>
      <c r="JZ9" s="3521" t="s">
        <v>4379</v>
      </c>
      <c r="KA9" s="3521" t="s">
        <v>4379</v>
      </c>
      <c r="KB9" s="3521" t="s">
        <v>4379</v>
      </c>
      <c r="KC9" s="3521" t="s">
        <v>4829</v>
      </c>
      <c r="KD9" s="3521" t="s">
        <v>4829</v>
      </c>
      <c r="KE9" s="3521" t="s">
        <v>4829</v>
      </c>
      <c r="KF9" s="3521" t="s">
        <v>4829</v>
      </c>
      <c r="KG9" s="3521" t="s">
        <v>4829</v>
      </c>
      <c r="KH9" s="3521" t="s">
        <v>4830</v>
      </c>
      <c r="KI9" s="3520" t="s">
        <v>4542</v>
      </c>
      <c r="KJ9" s="3520" t="s">
        <v>4542</v>
      </c>
      <c r="KK9" s="3520" t="s">
        <v>4542</v>
      </c>
      <c r="KL9" s="3520" t="s">
        <v>4542</v>
      </c>
      <c r="KM9" s="3520" t="s">
        <v>4188</v>
      </c>
      <c r="KN9" s="3520" t="s">
        <v>4188</v>
      </c>
      <c r="KO9" s="3520" t="s">
        <v>4188</v>
      </c>
      <c r="KP9" s="3520" t="s">
        <v>4188</v>
      </c>
      <c r="KQ9" s="3520" t="s">
        <v>4188</v>
      </c>
      <c r="KR9" s="3520" t="s">
        <v>4380</v>
      </c>
      <c r="KS9" s="3520" t="s">
        <v>4380</v>
      </c>
      <c r="KT9" s="3520" t="s">
        <v>4380</v>
      </c>
      <c r="KU9" s="3520" t="s">
        <v>4380</v>
      </c>
      <c r="KV9" s="3520" t="s">
        <v>4380</v>
      </c>
      <c r="KW9" s="3520" t="s">
        <v>4543</v>
      </c>
      <c r="KX9" s="3520" t="s">
        <v>4543</v>
      </c>
      <c r="KY9" s="3520" t="s">
        <v>4543</v>
      </c>
      <c r="KZ9" s="3520" t="s">
        <v>4543</v>
      </c>
      <c r="LA9" s="3520" t="s">
        <v>4543</v>
      </c>
      <c r="LB9" s="3520" t="s">
        <v>4544</v>
      </c>
      <c r="LC9" s="3520" t="s">
        <v>4544</v>
      </c>
      <c r="LD9" s="3520" t="s">
        <v>4544</v>
      </c>
      <c r="LE9" s="3520" t="s">
        <v>4544</v>
      </c>
      <c r="LF9" s="3520" t="s">
        <v>4544</v>
      </c>
      <c r="LG9" s="3520"/>
      <c r="LH9" s="3520"/>
      <c r="LI9" s="3520"/>
      <c r="LJ9" s="3520"/>
      <c r="LK9" s="3520"/>
      <c r="LL9" s="3520"/>
      <c r="LM9" s="3520"/>
      <c r="LN9" s="3520"/>
      <c r="LO9" s="3520"/>
      <c r="LP9" s="3520"/>
      <c r="LQ9" s="3520"/>
      <c r="LR9" s="3520"/>
      <c r="LS9" s="3520"/>
      <c r="LT9" s="3520"/>
      <c r="LU9" s="3520"/>
      <c r="LV9" s="3520"/>
      <c r="LW9" s="3520"/>
      <c r="LX9" s="3520"/>
      <c r="LY9" s="3520"/>
      <c r="LZ9" s="3520"/>
      <c r="MA9" s="3520"/>
      <c r="MB9" s="3520"/>
      <c r="MC9" s="3520"/>
      <c r="MD9" s="3520"/>
      <c r="ME9" s="3520"/>
      <c r="MF9" s="3520"/>
      <c r="MG9" s="3520"/>
      <c r="MH9" s="3520"/>
      <c r="MI9" s="3520"/>
      <c r="MJ9" s="3520"/>
      <c r="MK9" s="3564"/>
      <c r="ML9" s="3564"/>
      <c r="MM9" s="3564"/>
      <c r="MN9" s="3564"/>
      <c r="MO9" s="3564"/>
      <c r="MP9" s="3520"/>
      <c r="MQ9" s="3520"/>
      <c r="MR9" s="3520"/>
      <c r="MS9" s="3520"/>
      <c r="MT9" s="3520"/>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3"/>
      <c r="B10" s="1201" t="s">
        <v>3805</v>
      </c>
      <c r="C10" s="674" t="s">
        <v>164</v>
      </c>
      <c r="D10" s="674" t="s">
        <v>166</v>
      </c>
      <c r="E10" s="674" t="s">
        <v>1381</v>
      </c>
      <c r="F10" s="674" t="s">
        <v>1201</v>
      </c>
      <c r="G10" s="3523"/>
      <c r="H10" s="674" t="s">
        <v>3992</v>
      </c>
      <c r="I10" s="3523"/>
      <c r="J10" s="3528"/>
      <c r="K10" s="357" t="s">
        <v>334</v>
      </c>
      <c r="L10" s="674" t="s">
        <v>1430</v>
      </c>
      <c r="M10" s="674" t="s">
        <v>503</v>
      </c>
      <c r="N10" s="674" t="s">
        <v>1380</v>
      </c>
      <c r="O10" s="674" t="s">
        <v>4392</v>
      </c>
      <c r="P10" s="3532"/>
      <c r="Q10" s="3538"/>
      <c r="R10" s="674" t="s">
        <v>1382</v>
      </c>
      <c r="S10" s="674" t="s">
        <v>2449</v>
      </c>
      <c r="T10" s="10" t="s">
        <v>1706</v>
      </c>
      <c r="W10" s="10"/>
      <c r="X10" s="3521"/>
      <c r="Y10" s="3521"/>
      <c r="Z10" s="3521"/>
      <c r="AA10" s="3521"/>
      <c r="AB10" s="3521"/>
      <c r="AC10" s="3521"/>
      <c r="AD10" s="3521"/>
      <c r="AE10" s="3521"/>
      <c r="AF10" s="3521"/>
      <c r="AG10" s="3521"/>
      <c r="AH10" s="3521"/>
      <c r="AI10" s="3521"/>
      <c r="AJ10" s="3521"/>
      <c r="AK10" s="3521"/>
      <c r="AL10" s="3521"/>
      <c r="AM10" s="3521"/>
      <c r="AN10" s="3521"/>
      <c r="AO10" s="3521"/>
      <c r="AP10" s="3521"/>
      <c r="AQ10" s="3521"/>
      <c r="AR10" s="3521"/>
      <c r="AS10" s="3521"/>
      <c r="AT10" s="3521"/>
      <c r="AU10" s="3521"/>
      <c r="AV10" s="3521"/>
      <c r="AW10" s="3521"/>
      <c r="AX10" s="3521"/>
      <c r="AY10" s="3521"/>
      <c r="AZ10" s="3521"/>
      <c r="BA10" s="3521"/>
      <c r="BB10" s="3521"/>
      <c r="BC10" s="3521"/>
      <c r="BD10" s="3521"/>
      <c r="BE10" s="3521"/>
      <c r="BF10" s="3521"/>
      <c r="BG10" s="3521"/>
      <c r="BH10" s="3521"/>
      <c r="BI10" s="3521"/>
      <c r="BJ10" s="3521"/>
      <c r="BK10" s="3521"/>
      <c r="BL10" s="3521"/>
      <c r="BM10" s="3521"/>
      <c r="BN10" s="3521"/>
      <c r="BO10" s="3521"/>
      <c r="BP10" s="3521"/>
      <c r="BQ10" s="3521"/>
      <c r="BR10" s="3521"/>
      <c r="BS10" s="3521"/>
      <c r="BT10" s="3521"/>
      <c r="BU10" s="3521"/>
      <c r="BV10" s="3521"/>
      <c r="BW10" s="3521"/>
      <c r="BX10" s="3521"/>
      <c r="BY10" s="3521"/>
      <c r="BZ10" s="3521"/>
      <c r="CA10" s="3521"/>
      <c r="CB10" s="3521"/>
      <c r="CC10" s="3521"/>
      <c r="CD10" s="3521"/>
      <c r="CE10" s="3521"/>
      <c r="CF10" s="3521"/>
      <c r="CG10" s="3521"/>
      <c r="CH10" s="3521"/>
      <c r="CI10" s="3521"/>
      <c r="CJ10" s="3521"/>
      <c r="CK10" s="3521"/>
      <c r="CL10" s="3521"/>
      <c r="CM10" s="3521"/>
      <c r="CN10" s="3521"/>
      <c r="CO10" s="3521"/>
      <c r="CP10" s="3521"/>
      <c r="CQ10" s="3521"/>
      <c r="CR10" s="3521"/>
      <c r="CS10" s="3521"/>
      <c r="CT10" s="3521"/>
      <c r="CU10" s="3521"/>
      <c r="CV10" s="3521"/>
      <c r="CW10" s="3521"/>
      <c r="CX10" s="3521"/>
      <c r="CY10" s="3521"/>
      <c r="CZ10" s="3521"/>
      <c r="DA10" s="3521"/>
      <c r="DB10" s="3521"/>
      <c r="DC10" s="3521"/>
      <c r="DD10" s="3521"/>
      <c r="DE10" s="3521"/>
      <c r="DF10" s="3521"/>
      <c r="DG10" s="3521"/>
      <c r="DH10" s="3521"/>
      <c r="DI10" s="3521"/>
      <c r="DJ10" s="3521"/>
      <c r="DK10" s="3521"/>
      <c r="DL10" s="3521"/>
      <c r="DM10" s="3521"/>
      <c r="DN10" s="3521"/>
      <c r="DO10" s="3521"/>
      <c r="DP10" s="3521"/>
      <c r="DQ10" s="3521"/>
      <c r="DR10" s="3521"/>
      <c r="DS10" s="3521"/>
      <c r="DT10" s="3521"/>
      <c r="DU10" s="3521"/>
      <c r="DV10" s="3521"/>
      <c r="DW10" s="3521"/>
      <c r="DX10" s="3521"/>
      <c r="DY10" s="3521"/>
      <c r="DZ10" s="3521"/>
      <c r="EA10" s="3521"/>
      <c r="EB10" s="3521"/>
      <c r="EC10" s="3521"/>
      <c r="ED10" s="3521"/>
      <c r="EE10" s="3521"/>
      <c r="EF10" s="3521"/>
      <c r="EG10" s="3521"/>
      <c r="EH10" s="3521"/>
      <c r="EI10" s="3521"/>
      <c r="EJ10" s="3521"/>
      <c r="EK10" s="3521"/>
      <c r="EL10" s="3521"/>
      <c r="EM10" s="3521"/>
      <c r="EN10" s="3521"/>
      <c r="EO10" s="3521"/>
      <c r="EP10" s="3521"/>
      <c r="EQ10" s="3521"/>
      <c r="ER10" s="3521"/>
      <c r="ES10" s="3521"/>
      <c r="ET10" s="3521"/>
      <c r="EU10" s="3521"/>
      <c r="EV10" s="3521"/>
      <c r="EW10" s="3521"/>
      <c r="EX10" s="3521"/>
      <c r="EY10" s="3521"/>
      <c r="EZ10" s="3521"/>
      <c r="FA10" s="3521"/>
      <c r="FB10" s="3521"/>
      <c r="FC10" s="3521"/>
      <c r="FD10" s="3521"/>
      <c r="FE10" s="3521"/>
      <c r="FF10" s="3521"/>
      <c r="FG10" s="3521"/>
      <c r="FH10" s="3521"/>
      <c r="FI10" s="3521"/>
      <c r="FJ10" s="3521"/>
      <c r="FK10" s="3521"/>
      <c r="FL10" s="3521"/>
      <c r="FM10" s="3521"/>
      <c r="FN10" s="3521"/>
      <c r="FO10" s="3521"/>
      <c r="FP10" s="3521"/>
      <c r="FQ10" s="3521"/>
      <c r="FR10" s="3521"/>
      <c r="FS10" s="3521"/>
      <c r="FT10" s="3521"/>
      <c r="FU10" s="3521"/>
      <c r="FV10" s="3521"/>
      <c r="FW10" s="3521"/>
      <c r="FX10" s="3521"/>
      <c r="FY10" s="3521"/>
      <c r="FZ10" s="3521"/>
      <c r="GA10" s="3521"/>
      <c r="GB10" s="3521"/>
      <c r="GC10" s="3521"/>
      <c r="GD10" s="3521"/>
      <c r="GE10" s="3521"/>
      <c r="GF10" s="3521"/>
      <c r="GG10" s="3521"/>
      <c r="GH10" s="3521"/>
      <c r="GI10" s="3521"/>
      <c r="GJ10" s="3521"/>
      <c r="GK10" s="3521"/>
      <c r="GL10" s="3521"/>
      <c r="GM10" s="3521"/>
      <c r="GN10" s="3521"/>
      <c r="GO10" s="3521"/>
      <c r="GP10" s="3521"/>
      <c r="GQ10" s="3521"/>
      <c r="GR10" s="3521"/>
      <c r="GS10" s="3521"/>
      <c r="GT10" s="3521"/>
      <c r="GU10" s="3521"/>
      <c r="GV10" s="3521"/>
      <c r="GW10" s="3521"/>
      <c r="GX10" s="3521"/>
      <c r="GY10" s="3521"/>
      <c r="GZ10" s="3521"/>
      <c r="HA10" s="3521"/>
      <c r="HB10" s="3521"/>
      <c r="HC10" s="3521"/>
      <c r="HD10" s="3521"/>
      <c r="HE10" s="3521"/>
      <c r="HF10" s="3521"/>
      <c r="HG10" s="3521"/>
      <c r="HH10" s="3521"/>
      <c r="HI10" s="3521"/>
      <c r="HJ10" s="3521"/>
      <c r="HK10" s="3521"/>
      <c r="HL10" s="3521"/>
      <c r="HM10" s="3521"/>
      <c r="HN10" s="3521"/>
      <c r="HO10" s="3521"/>
      <c r="HP10" s="3521"/>
      <c r="HQ10" s="3521"/>
      <c r="HR10" s="3521"/>
      <c r="HS10" s="3521"/>
      <c r="HT10" s="3521"/>
      <c r="HU10" s="3521"/>
      <c r="HV10" s="3521"/>
      <c r="HW10" s="3521"/>
      <c r="HX10" s="3521"/>
      <c r="HY10" s="3521"/>
      <c r="HZ10" s="3521"/>
      <c r="IA10" s="869" t="s">
        <v>2292</v>
      </c>
      <c r="IB10" s="869" t="s">
        <v>2292</v>
      </c>
      <c r="IC10" s="869" t="s">
        <v>2292</v>
      </c>
      <c r="ID10" s="869" t="s">
        <v>2292</v>
      </c>
      <c r="IE10" s="3521"/>
      <c r="IF10" s="3521"/>
      <c r="IG10" s="3521"/>
      <c r="IH10" s="3521"/>
      <c r="II10" s="3521"/>
      <c r="IJ10" s="3521"/>
      <c r="IK10" s="3521"/>
      <c r="IL10" s="3521"/>
      <c r="IM10" s="3521"/>
      <c r="IN10" s="3521"/>
      <c r="IO10" s="869" t="s">
        <v>2294</v>
      </c>
      <c r="IP10" s="869" t="s">
        <v>2294</v>
      </c>
      <c r="IQ10" s="869" t="s">
        <v>2294</v>
      </c>
      <c r="IR10" s="869" t="s">
        <v>2294</v>
      </c>
      <c r="IS10" s="869" t="s">
        <v>2294</v>
      </c>
      <c r="IT10" s="869" t="s">
        <v>2929</v>
      </c>
      <c r="IU10" s="869" t="s">
        <v>2929</v>
      </c>
      <c r="IV10" s="869" t="s">
        <v>2929</v>
      </c>
      <c r="IW10" s="869" t="s">
        <v>2929</v>
      </c>
      <c r="IX10" s="869" t="s">
        <v>2929</v>
      </c>
      <c r="IY10" s="3521"/>
      <c r="IZ10" s="3521"/>
      <c r="JA10" s="3521"/>
      <c r="JB10" s="3521"/>
      <c r="JC10" s="3521"/>
      <c r="JD10" s="3521"/>
      <c r="JE10" s="3521"/>
      <c r="JF10" s="3521"/>
      <c r="JG10" s="3521"/>
      <c r="JH10" s="3521"/>
      <c r="JI10" s="3521"/>
      <c r="JJ10" s="3521"/>
      <c r="JK10" s="3521"/>
      <c r="JL10" s="3521"/>
      <c r="JM10" s="3521"/>
      <c r="JN10" s="3521"/>
      <c r="JO10" s="3521"/>
      <c r="JP10" s="3521"/>
      <c r="JQ10" s="3521"/>
      <c r="JR10" s="3521"/>
      <c r="JS10" s="3521"/>
      <c r="JT10" s="3521"/>
      <c r="JU10" s="3521"/>
      <c r="JV10" s="3521"/>
      <c r="JW10" s="3521"/>
      <c r="JX10" s="3521"/>
      <c r="JY10" s="3521"/>
      <c r="JZ10" s="3521"/>
      <c r="KA10" s="3521"/>
      <c r="KB10" s="3521"/>
      <c r="KC10" s="3521"/>
      <c r="KD10" s="3521"/>
      <c r="KE10" s="3521"/>
      <c r="KF10" s="3521"/>
      <c r="KG10" s="3521"/>
      <c r="KH10" s="3521"/>
      <c r="KI10" s="3520"/>
      <c r="KJ10" s="3520"/>
      <c r="KK10" s="3520"/>
      <c r="KL10" s="3520"/>
      <c r="KM10" s="3520"/>
      <c r="KN10" s="3520"/>
      <c r="KO10" s="3520"/>
      <c r="KP10" s="3520"/>
      <c r="KQ10" s="3520"/>
      <c r="KR10" s="3520"/>
      <c r="KS10" s="3520"/>
      <c r="KT10" s="3520"/>
      <c r="KU10" s="3520"/>
      <c r="KV10" s="3520"/>
      <c r="KW10" s="3520"/>
      <c r="KX10" s="3520"/>
      <c r="KY10" s="3520"/>
      <c r="KZ10" s="3520"/>
      <c r="LA10" s="3520"/>
      <c r="LB10" s="3520"/>
      <c r="LC10" s="3520"/>
      <c r="LD10" s="3520"/>
      <c r="LE10" s="3520"/>
      <c r="LF10" s="3520"/>
      <c r="LG10" s="3520"/>
      <c r="LH10" s="3520"/>
      <c r="LI10" s="3520"/>
      <c r="LJ10" s="3520"/>
      <c r="LK10" s="3520"/>
      <c r="LL10" s="3520"/>
      <c r="LM10" s="3520"/>
      <c r="LN10" s="3520"/>
      <c r="LO10" s="3520"/>
      <c r="LP10" s="3520"/>
      <c r="LQ10" s="3520"/>
      <c r="LR10" s="3520"/>
      <c r="LS10" s="3520"/>
      <c r="LT10" s="3520"/>
      <c r="LU10" s="3520"/>
      <c r="LV10" s="3520"/>
      <c r="LW10" s="3520"/>
      <c r="LX10" s="3520"/>
      <c r="LY10" s="3520"/>
      <c r="LZ10" s="3520"/>
      <c r="MA10" s="3520"/>
      <c r="MB10" s="3520"/>
      <c r="MC10" s="3520"/>
      <c r="MD10" s="3520"/>
      <c r="ME10" s="3520"/>
      <c r="MF10" s="3520"/>
      <c r="MG10" s="3520"/>
      <c r="MH10" s="3520"/>
      <c r="MI10" s="3520"/>
      <c r="MJ10" s="3520"/>
      <c r="MK10" s="3564"/>
      <c r="ML10" s="3564"/>
      <c r="MM10" s="3564"/>
      <c r="MN10" s="3564"/>
      <c r="MO10" s="3564"/>
      <c r="MP10" s="3520"/>
      <c r="MQ10" s="3520"/>
      <c r="MR10" s="3520"/>
      <c r="MS10" s="3520"/>
      <c r="MT10" s="3520"/>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5"/>
      <c r="U11" s="3566"/>
      <c r="V11" s="3566"/>
      <c r="W11" s="3567"/>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4301</v>
      </c>
      <c r="NQ11" s="2480">
        <v>11</v>
      </c>
    </row>
    <row r="12" spans="1:493" ht="13.9"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88"/>
      <c r="U12" s="3489"/>
      <c r="V12" s="3489"/>
      <c r="W12" s="3490"/>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4302</v>
      </c>
      <c r="NQ12" s="2482">
        <v>12</v>
      </c>
    </row>
    <row r="13" spans="1:493" ht="13.9" customHeight="1">
      <c r="A13" s="86" t="str">
        <f t="shared" si="0"/>
        <v/>
      </c>
      <c r="B13" s="1022" t="s">
        <v>290</v>
      </c>
      <c r="C13" s="132">
        <v>1</v>
      </c>
      <c r="D13" s="1661">
        <v>1</v>
      </c>
      <c r="E13" s="133">
        <v>8</v>
      </c>
      <c r="F13" s="133">
        <v>744</v>
      </c>
      <c r="G13" s="133">
        <v>0</v>
      </c>
      <c r="H13" s="133">
        <v>1350</v>
      </c>
      <c r="I13" s="133">
        <v>0</v>
      </c>
      <c r="J13" s="1366">
        <v>0</v>
      </c>
      <c r="K13" s="632"/>
      <c r="L13" s="460">
        <f t="shared" si="1"/>
        <v>1350</v>
      </c>
      <c r="M13" s="460">
        <f t="shared" si="2"/>
        <v>10800</v>
      </c>
      <c r="N13" s="683" t="s">
        <v>2644</v>
      </c>
      <c r="O13" s="1595" t="s">
        <v>4187</v>
      </c>
      <c r="P13" s="683" t="s">
        <v>2114</v>
      </c>
      <c r="Q13" s="134" t="s">
        <v>2644</v>
      </c>
      <c r="R13" s="726"/>
      <c r="S13" s="727"/>
      <c r="T13" s="3488"/>
      <c r="U13" s="3489"/>
      <c r="V13" s="3489"/>
      <c r="W13" s="3490"/>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8</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5952</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8</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f t="shared" si="214"/>
        <v>8</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f t="shared" si="259"/>
        <v>8</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8</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4303</v>
      </c>
      <c r="NQ13" s="2482">
        <v>13</v>
      </c>
    </row>
    <row r="14" spans="1:493" ht="13.9" customHeight="1">
      <c r="A14" s="86" t="str">
        <f t="shared" si="0"/>
        <v/>
      </c>
      <c r="B14" s="1022" t="s">
        <v>290</v>
      </c>
      <c r="C14" s="132">
        <v>2</v>
      </c>
      <c r="D14" s="1661">
        <v>2</v>
      </c>
      <c r="E14" s="133">
        <v>4</v>
      </c>
      <c r="F14" s="133">
        <v>1178</v>
      </c>
      <c r="G14" s="133">
        <v>0</v>
      </c>
      <c r="H14" s="133">
        <v>1650</v>
      </c>
      <c r="I14" s="133">
        <v>0</v>
      </c>
      <c r="J14" s="1366">
        <v>0</v>
      </c>
      <c r="K14" s="632"/>
      <c r="L14" s="460">
        <f t="shared" si="1"/>
        <v>1650</v>
      </c>
      <c r="M14" s="460">
        <f t="shared" si="2"/>
        <v>6600</v>
      </c>
      <c r="N14" s="683" t="s">
        <v>2644</v>
      </c>
      <c r="O14" s="1595" t="s">
        <v>4187</v>
      </c>
      <c r="P14" s="683" t="s">
        <v>2114</v>
      </c>
      <c r="Q14" s="134" t="s">
        <v>2644</v>
      </c>
      <c r="R14" s="726"/>
      <c r="S14" s="727"/>
      <c r="T14" s="3488"/>
      <c r="U14" s="3489"/>
      <c r="V14" s="3489"/>
      <c r="W14" s="3490"/>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4</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4712</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4</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f t="shared" si="215"/>
        <v>4</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f t="shared" si="260"/>
        <v>4</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4</v>
      </c>
      <c r="MN14" s="1658">
        <f t="shared" si="336"/>
        <v>0</v>
      </c>
      <c r="MO14" s="1658">
        <f t="shared" si="337"/>
        <v>0</v>
      </c>
      <c r="MP14" s="1658">
        <f t="shared" si="328"/>
        <v>0</v>
      </c>
      <c r="MQ14" s="1658">
        <f t="shared" si="329"/>
        <v>0</v>
      </c>
      <c r="MR14" s="1658">
        <f t="shared" si="330"/>
        <v>0</v>
      </c>
      <c r="MS14" s="1658">
        <f t="shared" si="331"/>
        <v>0</v>
      </c>
      <c r="MT14" s="1658">
        <f t="shared" si="332"/>
        <v>0</v>
      </c>
      <c r="NP14" s="1631" t="s">
        <v>4304</v>
      </c>
      <c r="NQ14" s="2480">
        <v>14</v>
      </c>
    </row>
    <row r="15" spans="1:493" ht="13.9" customHeight="1">
      <c r="A15" s="86" t="str">
        <f t="shared" si="0"/>
        <v/>
      </c>
      <c r="B15" s="1022" t="s">
        <v>290</v>
      </c>
      <c r="C15" s="132">
        <v>3</v>
      </c>
      <c r="D15" s="1661">
        <v>2</v>
      </c>
      <c r="E15" s="133">
        <v>2</v>
      </c>
      <c r="F15" s="133">
        <v>1284</v>
      </c>
      <c r="G15" s="133">
        <v>0</v>
      </c>
      <c r="H15" s="133">
        <v>2100</v>
      </c>
      <c r="I15" s="133">
        <v>0</v>
      </c>
      <c r="J15" s="1366">
        <v>0</v>
      </c>
      <c r="K15" s="632"/>
      <c r="L15" s="460">
        <f t="shared" si="1"/>
        <v>2100</v>
      </c>
      <c r="M15" s="460">
        <f t="shared" si="2"/>
        <v>4200</v>
      </c>
      <c r="N15" s="683" t="s">
        <v>2644</v>
      </c>
      <c r="O15" s="1595" t="s">
        <v>4187</v>
      </c>
      <c r="P15" s="683" t="s">
        <v>2114</v>
      </c>
      <c r="Q15" s="134" t="s">
        <v>2644</v>
      </c>
      <c r="R15" s="726"/>
      <c r="S15" s="727"/>
      <c r="T15" s="3488"/>
      <c r="U15" s="3489"/>
      <c r="V15" s="3489"/>
      <c r="W15" s="3490"/>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f t="shared" si="41"/>
        <v>2</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f t="shared" si="156"/>
        <v>2568</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f t="shared" si="176"/>
        <v>2</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f t="shared" si="216"/>
        <v>2</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f t="shared" si="261"/>
        <v>2</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2</v>
      </c>
      <c r="MO15" s="1658">
        <f t="shared" si="337"/>
        <v>0</v>
      </c>
      <c r="MP15" s="1658">
        <f t="shared" si="328"/>
        <v>0</v>
      </c>
      <c r="MQ15" s="1658">
        <f t="shared" si="329"/>
        <v>0</v>
      </c>
      <c r="MR15" s="1658">
        <f t="shared" si="330"/>
        <v>0</v>
      </c>
      <c r="MS15" s="1658">
        <f t="shared" si="331"/>
        <v>0</v>
      </c>
      <c r="MT15" s="1658">
        <f t="shared" si="332"/>
        <v>0</v>
      </c>
      <c r="NP15" s="1631" t="s">
        <v>4305</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8"/>
      <c r="U16" s="3489"/>
      <c r="V16" s="3489"/>
      <c r="W16" s="3490"/>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4306</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8"/>
      <c r="U17" s="3489"/>
      <c r="V17" s="3489"/>
      <c r="W17" s="3490"/>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4307</v>
      </c>
      <c r="NQ17" s="2482">
        <v>17</v>
      </c>
    </row>
    <row r="18" spans="1:381" ht="13.9" customHeight="1">
      <c r="A18" s="86" t="str">
        <f t="shared" si="0"/>
        <v/>
      </c>
      <c r="B18" s="1059">
        <v>50</v>
      </c>
      <c r="C18" s="1024">
        <v>1</v>
      </c>
      <c r="D18" s="1663">
        <v>1</v>
      </c>
      <c r="E18" s="1025">
        <v>26</v>
      </c>
      <c r="F18" s="1025">
        <v>744</v>
      </c>
      <c r="G18" s="1025">
        <v>1008</v>
      </c>
      <c r="H18" s="1025">
        <v>964</v>
      </c>
      <c r="I18" s="1025">
        <v>0</v>
      </c>
      <c r="J18" s="1041">
        <f>IF(C18="",0,HLOOKUP(C18,'Part IV-Utility Allowances'!$I$11:$M$22,12))</f>
        <v>118</v>
      </c>
      <c r="K18" s="1042"/>
      <c r="L18" s="1043">
        <f t="shared" si="1"/>
        <v>846</v>
      </c>
      <c r="M18" s="1043">
        <f t="shared" si="2"/>
        <v>21996</v>
      </c>
      <c r="N18" s="1044" t="s">
        <v>2644</v>
      </c>
      <c r="O18" s="1597" t="s">
        <v>4187</v>
      </c>
      <c r="P18" s="1044" t="s">
        <v>2114</v>
      </c>
      <c r="Q18" s="1045" t="s">
        <v>2644</v>
      </c>
      <c r="R18" s="726"/>
      <c r="S18" s="727"/>
      <c r="T18" s="3488"/>
      <c r="U18" s="3489"/>
      <c r="V18" s="3489"/>
      <c r="W18" s="3490"/>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26</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19344</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26</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26</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26</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26</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4308</v>
      </c>
      <c r="NQ18" s="2482">
        <v>18</v>
      </c>
    </row>
    <row r="19" spans="1:381" ht="13.9" customHeight="1">
      <c r="A19" s="86" t="str">
        <f t="shared" si="0"/>
        <v/>
      </c>
      <c r="B19" s="1060">
        <v>50</v>
      </c>
      <c r="C19" s="132">
        <v>2</v>
      </c>
      <c r="D19" s="1661">
        <v>2</v>
      </c>
      <c r="E19" s="133">
        <v>27</v>
      </c>
      <c r="F19" s="133">
        <v>1178</v>
      </c>
      <c r="G19" s="133">
        <v>1210</v>
      </c>
      <c r="H19" s="133">
        <v>1157</v>
      </c>
      <c r="I19" s="133">
        <v>0</v>
      </c>
      <c r="J19" s="743">
        <f>IF(C19="",0,HLOOKUP(C19,'Part IV-Utility Allowances'!$I$11:$M$22,12))</f>
        <v>148</v>
      </c>
      <c r="K19" s="632"/>
      <c r="L19" s="460">
        <f t="shared" si="1"/>
        <v>1009</v>
      </c>
      <c r="M19" s="460">
        <f t="shared" si="2"/>
        <v>27243</v>
      </c>
      <c r="N19" s="683" t="s">
        <v>2644</v>
      </c>
      <c r="O19" s="1595" t="s">
        <v>4187</v>
      </c>
      <c r="P19" s="683" t="s">
        <v>2114</v>
      </c>
      <c r="Q19" s="134" t="s">
        <v>2644</v>
      </c>
      <c r="R19" s="726"/>
      <c r="S19" s="727"/>
      <c r="T19" s="3488"/>
      <c r="U19" s="3489"/>
      <c r="V19" s="3489"/>
      <c r="W19" s="3490"/>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27</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31806</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27</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27</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27</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27</v>
      </c>
      <c r="MN19" s="1658">
        <f t="shared" si="336"/>
        <v>0</v>
      </c>
      <c r="MO19" s="1658">
        <f t="shared" si="337"/>
        <v>0</v>
      </c>
      <c r="MP19" s="1658">
        <f t="shared" si="328"/>
        <v>0</v>
      </c>
      <c r="MQ19" s="1658">
        <f t="shared" si="329"/>
        <v>0</v>
      </c>
      <c r="MR19" s="1658">
        <f t="shared" si="330"/>
        <v>0</v>
      </c>
      <c r="MS19" s="1658">
        <f t="shared" si="331"/>
        <v>0</v>
      </c>
      <c r="MT19" s="1658">
        <f t="shared" si="332"/>
        <v>0</v>
      </c>
      <c r="NP19" s="1631" t="s">
        <v>4309</v>
      </c>
      <c r="NQ19" s="2482">
        <v>19</v>
      </c>
    </row>
    <row r="20" spans="1:381" ht="13.9" customHeight="1">
      <c r="A20" s="86" t="str">
        <f t="shared" si="0"/>
        <v/>
      </c>
      <c r="B20" s="1060">
        <v>50</v>
      </c>
      <c r="C20" s="132">
        <v>3</v>
      </c>
      <c r="D20" s="1661">
        <v>2</v>
      </c>
      <c r="E20" s="133">
        <v>5</v>
      </c>
      <c r="F20" s="133">
        <v>1284</v>
      </c>
      <c r="G20" s="133">
        <v>1398</v>
      </c>
      <c r="H20" s="133">
        <v>1337</v>
      </c>
      <c r="I20" s="133">
        <v>0</v>
      </c>
      <c r="J20" s="743">
        <f>IF(C20="",0,HLOOKUP(C20,'Part IV-Utility Allowances'!$I$11:$M$22,12))</f>
        <v>184</v>
      </c>
      <c r="K20" s="632"/>
      <c r="L20" s="460">
        <f t="shared" si="1"/>
        <v>1153</v>
      </c>
      <c r="M20" s="460">
        <f t="shared" si="2"/>
        <v>5765</v>
      </c>
      <c r="N20" s="683" t="s">
        <v>2644</v>
      </c>
      <c r="O20" s="1595" t="s">
        <v>4187</v>
      </c>
      <c r="P20" s="683" t="s">
        <v>2114</v>
      </c>
      <c r="Q20" s="134" t="s">
        <v>2644</v>
      </c>
      <c r="R20" s="726"/>
      <c r="S20" s="727"/>
      <c r="T20" s="3488"/>
      <c r="U20" s="3489"/>
      <c r="V20" s="3489"/>
      <c r="W20" s="3490"/>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f t="shared" si="21"/>
        <v>5</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f t="shared" si="136"/>
        <v>6420</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5</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f t="shared" si="216"/>
        <v>5</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f t="shared" si="261"/>
        <v>5</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5</v>
      </c>
      <c r="MO20" s="1658">
        <f t="shared" si="337"/>
        <v>0</v>
      </c>
      <c r="MP20" s="1658">
        <f t="shared" si="328"/>
        <v>0</v>
      </c>
      <c r="MQ20" s="1658">
        <f t="shared" si="329"/>
        <v>0</v>
      </c>
      <c r="MR20" s="1658">
        <f t="shared" si="330"/>
        <v>0</v>
      </c>
      <c r="MS20" s="1658">
        <f t="shared" si="331"/>
        <v>0</v>
      </c>
      <c r="MT20" s="1658">
        <f t="shared" si="332"/>
        <v>0</v>
      </c>
      <c r="NP20" s="1631" t="s">
        <v>4310</v>
      </c>
      <c r="NQ20" s="2483">
        <v>20</v>
      </c>
    </row>
    <row r="21" spans="1:381" ht="13.9" customHeight="1">
      <c r="A21" s="86" t="str">
        <f t="shared" si="0"/>
        <v/>
      </c>
      <c r="B21" s="1060"/>
      <c r="C21" s="132"/>
      <c r="D21" s="1661"/>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88"/>
      <c r="U21" s="3489"/>
      <c r="V21" s="3489"/>
      <c r="W21" s="3490"/>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4311</v>
      </c>
      <c r="NQ21" s="2482">
        <v>21</v>
      </c>
    </row>
    <row r="22" spans="1:381" ht="13.9" customHeight="1">
      <c r="A22" s="86" t="str">
        <f t="shared" si="0"/>
        <v/>
      </c>
      <c r="B22" s="1060"/>
      <c r="C22" s="132"/>
      <c r="D22" s="1661"/>
      <c r="E22" s="133"/>
      <c r="F22" s="133"/>
      <c r="G22" s="133"/>
      <c r="H22" s="133"/>
      <c r="I22" s="133"/>
      <c r="J22" s="743">
        <f>IF(C22="",0,HLOOKUP(C22,'Part IV-Utility Allowances'!$I$11:$M$22,12))</f>
        <v>0</v>
      </c>
      <c r="K22" s="632"/>
      <c r="L22" s="460">
        <f t="shared" si="1"/>
        <v>0</v>
      </c>
      <c r="M22" s="460">
        <f t="shared" si="2"/>
        <v>0</v>
      </c>
      <c r="N22" s="683"/>
      <c r="O22" s="1595"/>
      <c r="P22" s="683"/>
      <c r="Q22" s="134"/>
      <c r="R22" s="726"/>
      <c r="S22" s="727"/>
      <c r="T22" s="3488"/>
      <c r="U22" s="3489"/>
      <c r="V22" s="3489"/>
      <c r="W22" s="3490"/>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4312</v>
      </c>
      <c r="NQ22" s="2480">
        <v>22</v>
      </c>
    </row>
    <row r="23" spans="1:381" ht="13.9" customHeight="1">
      <c r="A23" s="86" t="str">
        <f t="shared" si="0"/>
        <v/>
      </c>
      <c r="B23" s="1060"/>
      <c r="C23" s="132"/>
      <c r="D23" s="1661"/>
      <c r="E23" s="133"/>
      <c r="F23" s="133"/>
      <c r="G23" s="133"/>
      <c r="H23" s="133"/>
      <c r="I23" s="133"/>
      <c r="J23" s="743">
        <f>IF(C23="",0,HLOOKUP(C23,'Part IV-Utility Allowances'!$I$11:$M$22,12))</f>
        <v>0</v>
      </c>
      <c r="K23" s="632"/>
      <c r="L23" s="460">
        <f t="shared" si="1"/>
        <v>0</v>
      </c>
      <c r="M23" s="460">
        <f t="shared" si="2"/>
        <v>0</v>
      </c>
      <c r="N23" s="683"/>
      <c r="O23" s="1595"/>
      <c r="P23" s="683"/>
      <c r="Q23" s="134"/>
      <c r="R23" s="726"/>
      <c r="S23" s="727"/>
      <c r="T23" s="3488"/>
      <c r="U23" s="3489"/>
      <c r="V23" s="3489"/>
      <c r="W23" s="3490"/>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4313</v>
      </c>
      <c r="NQ23" s="2482">
        <v>23</v>
      </c>
    </row>
    <row r="24" spans="1:381" ht="13.9"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88"/>
      <c r="U24" s="3489"/>
      <c r="V24" s="3489"/>
      <c r="W24" s="3490"/>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4314</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8"/>
      <c r="U25" s="3489"/>
      <c r="V25" s="3489"/>
      <c r="W25" s="3490"/>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4315</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8"/>
      <c r="U26" s="3489"/>
      <c r="V26" s="3489"/>
      <c r="W26" s="3490"/>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4316</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8"/>
      <c r="U27" s="3489"/>
      <c r="V27" s="3489"/>
      <c r="W27" s="3490"/>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4317</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8"/>
      <c r="U28" s="3489"/>
      <c r="V28" s="3489"/>
      <c r="W28" s="3490"/>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4318</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8"/>
      <c r="U29" s="3489"/>
      <c r="V29" s="3489"/>
      <c r="W29" s="3490"/>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4319</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8"/>
      <c r="U30" s="3489"/>
      <c r="V30" s="3489"/>
      <c r="W30" s="3490"/>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4320</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8"/>
      <c r="U31" s="3489"/>
      <c r="V31" s="3489"/>
      <c r="W31" s="3490"/>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4321</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8"/>
      <c r="U32" s="3489"/>
      <c r="V32" s="3489"/>
      <c r="W32" s="3490"/>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4322</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8"/>
      <c r="U33" s="3489"/>
      <c r="V33" s="3489"/>
      <c r="W33" s="3490"/>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4323</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8"/>
      <c r="U34" s="3489"/>
      <c r="V34" s="3489"/>
      <c r="W34" s="3490"/>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4324</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8"/>
      <c r="U35" s="3489"/>
      <c r="V35" s="3489"/>
      <c r="W35" s="3490"/>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4325</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8"/>
      <c r="U36" s="3489"/>
      <c r="V36" s="3489"/>
      <c r="W36" s="3490"/>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4326</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8"/>
      <c r="U37" s="3489"/>
      <c r="V37" s="3489"/>
      <c r="W37" s="3490"/>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4327</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8"/>
      <c r="U38" s="3489"/>
      <c r="V38" s="3489"/>
      <c r="W38" s="3490"/>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4328</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8"/>
      <c r="U39" s="3489"/>
      <c r="V39" s="3489"/>
      <c r="W39" s="3490"/>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4329</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8"/>
      <c r="U40" s="3489"/>
      <c r="V40" s="3489"/>
      <c r="W40" s="3490"/>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4330</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8"/>
      <c r="U41" s="3489"/>
      <c r="V41" s="3489"/>
      <c r="W41" s="3490"/>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4331</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8"/>
      <c r="U42" s="3489"/>
      <c r="V42" s="3489"/>
      <c r="W42" s="3490"/>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4332</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8"/>
      <c r="U43" s="3489"/>
      <c r="V43" s="3489"/>
      <c r="W43" s="3490"/>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4333</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8"/>
      <c r="U44" s="3489"/>
      <c r="V44" s="3489"/>
      <c r="W44" s="3490"/>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4334</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8"/>
      <c r="U45" s="3489"/>
      <c r="V45" s="3489"/>
      <c r="W45" s="3490"/>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4335</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8"/>
      <c r="U46" s="3489"/>
      <c r="V46" s="3489"/>
      <c r="W46" s="3490"/>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4336</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8"/>
      <c r="U47" s="3489"/>
      <c r="V47" s="3489"/>
      <c r="W47" s="3490"/>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4337</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4338</v>
      </c>
      <c r="NQ48" s="2482">
        <v>48</v>
      </c>
    </row>
    <row r="49" spans="1:381" s="115" customFormat="1" ht="13.9" customHeight="1">
      <c r="A49" s="1368">
        <f>COUNT(A11,A12,A13,A14,A15,A16,A17,A18,A19,A20,A21,A22,A23,A24,A25,A26,A27,A28,A29,A30,A31,A32,A33,A34,A35,A36,A37,A38,A39,A40)</f>
        <v>0</v>
      </c>
      <c r="B49" s="3557" t="s">
        <v>3647</v>
      </c>
      <c r="C49" s="3558"/>
      <c r="D49" s="107" t="s">
        <v>953</v>
      </c>
      <c r="E49" s="1054">
        <f>SUM(E11:E48)</f>
        <v>72</v>
      </c>
      <c r="F49" s="1052">
        <f>(E11*F11+E12*F12+E13*F13+E14*F14+E15*F15+E16*F16+E17*F17+E18*F18+E19*F19+E20*F20+E21*F21+E22*F22+E23*F23+E24*F24+E25*F25+E26*F26+E27*F27+E28*F28+E29*F29+E30*F30+E31*F31+E32*F32+E33*F33+E34*F34+E35*F35+E36*F36+E37*F37+E38*F38+E39*F39+E40*F40+E41*F41+E42*F42+E43*F43+E44*F44+E45*F45+E46*F46+E47*F47+E48*F48)</f>
        <v>70802</v>
      </c>
      <c r="H49" s="3559" t="s">
        <v>3644</v>
      </c>
      <c r="I49" s="1055" t="s">
        <v>3645</v>
      </c>
      <c r="J49" s="1056" t="str">
        <f>IF(P67=0,"",IF(SUM(P58:P62)/P67&gt;=0.4,"Pass","Fail"))</f>
        <v>Pass</v>
      </c>
      <c r="K49" s="447"/>
      <c r="L49" s="687" t="s">
        <v>1223</v>
      </c>
      <c r="M49" s="94">
        <f>SUM(M11:M48)</f>
        <v>76604</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0</v>
      </c>
      <c r="AJ49" s="1659">
        <f t="shared" si="338"/>
        <v>0</v>
      </c>
      <c r="AK49" s="1659">
        <f t="shared" si="338"/>
        <v>0</v>
      </c>
      <c r="AL49" s="1659">
        <f t="shared" si="338"/>
        <v>0</v>
      </c>
      <c r="AM49" s="1659">
        <f>SUM(AM11:AM48)</f>
        <v>0</v>
      </c>
      <c r="AN49" s="1659">
        <f>SUM(AN11:AN48)</f>
        <v>26</v>
      </c>
      <c r="AO49" s="1659">
        <f>SUM(AO11:AO48)</f>
        <v>27</v>
      </c>
      <c r="AP49" s="1659">
        <f>SUM(AP11:AP48)</f>
        <v>5</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8</v>
      </c>
      <c r="BI49" s="1659">
        <f t="shared" si="338"/>
        <v>4</v>
      </c>
      <c r="BJ49" s="1659">
        <f t="shared" si="338"/>
        <v>2</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0</v>
      </c>
      <c r="EU49" s="1659">
        <f t="shared" si="338"/>
        <v>0</v>
      </c>
      <c r="EV49" s="1659">
        <f t="shared" si="338"/>
        <v>0</v>
      </c>
      <c r="EW49" s="1659">
        <f t="shared" si="338"/>
        <v>0</v>
      </c>
      <c r="EX49" s="1659">
        <f t="shared" si="338"/>
        <v>0</v>
      </c>
      <c r="EY49" s="1659">
        <f t="shared" si="338"/>
        <v>19344</v>
      </c>
      <c r="EZ49" s="1659">
        <f t="shared" si="338"/>
        <v>31806</v>
      </c>
      <c r="FA49" s="1659">
        <f t="shared" si="338"/>
        <v>6420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5952</v>
      </c>
      <c r="FT49" s="1659">
        <f t="shared" si="340"/>
        <v>4712</v>
      </c>
      <c r="FU49" s="1659">
        <f t="shared" si="340"/>
        <v>2568</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26</v>
      </c>
      <c r="GI49" s="1659">
        <f t="shared" si="340"/>
        <v>27</v>
      </c>
      <c r="GJ49" s="1659">
        <f t="shared" si="340"/>
        <v>5</v>
      </c>
      <c r="GK49" s="1659">
        <f t="shared" si="340"/>
        <v>0</v>
      </c>
      <c r="GL49" s="1659">
        <f t="shared" si="340"/>
        <v>0</v>
      </c>
      <c r="GM49" s="1659">
        <f t="shared" si="340"/>
        <v>8</v>
      </c>
      <c r="GN49" s="1659">
        <f t="shared" si="340"/>
        <v>4</v>
      </c>
      <c r="GO49" s="1659">
        <f t="shared" si="340"/>
        <v>2</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34</v>
      </c>
      <c r="IB49" s="1659">
        <f t="shared" si="341"/>
        <v>31</v>
      </c>
      <c r="IC49" s="1659">
        <f t="shared" si="341"/>
        <v>7</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34</v>
      </c>
      <c r="JU49" s="1659">
        <f t="shared" si="341"/>
        <v>31</v>
      </c>
      <c r="JV49" s="1659">
        <f t="shared" si="341"/>
        <v>7</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34</v>
      </c>
      <c r="MM49" s="1659">
        <f t="shared" si="343"/>
        <v>31</v>
      </c>
      <c r="MN49" s="1659">
        <f t="shared" si="343"/>
        <v>7</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4339</v>
      </c>
      <c r="NQ49" s="2482">
        <v>49</v>
      </c>
    </row>
    <row r="50" spans="1:381" s="115" customFormat="1" ht="13.9" customHeight="1">
      <c r="B50" s="3561">
        <f>IF(SUM(E18:E48)=0,"",(B18*E18+B19*E19+B20*E20+B21*E21+B22*E22+B23*E23+B24*E24+B25*E25+B26*E26+B27*E27+B28*E28+B29*E29+B30*E30+B31*E31+B32*E32+B33*E33+B34*E34+B35*E35+B36*E36+B37*E37+B38*E38+B39*E39+B40*E40+B41*E41+B42*E42+B43*E43+B44*E44+B45*E45+B46*E46+B47*E47+B48*E48)/SUM(E18:E48))</f>
        <v>50</v>
      </c>
      <c r="C50" s="3562"/>
      <c r="D50" s="119" t="s">
        <v>3554</v>
      </c>
      <c r="E50" s="1051">
        <f>SUM(E18:E48)</f>
        <v>58</v>
      </c>
      <c r="F50" s="1053">
        <f>(E18*F18+E19*F19+E20*F20+E21*F21+E22*F22+E23*F23+E24*F24+E25*F25+E26*F26+E27*F27+E28*F28+E29*F29+E30*F30+E31*F31+E32*F32+E33*F33+E34*F34+E35*F35+E36*F36+E37*F37+E38*F38+E39*F39+E40*F40+E41*F41+E42*F42+E43*F43+E44*F44+E45*F45+E46*F46+E47*F47+E48*F48)</f>
        <v>57570</v>
      </c>
      <c r="H50" s="3560"/>
      <c r="I50" s="1057" t="s">
        <v>3646</v>
      </c>
      <c r="J50" s="1058" t="str">
        <f>IF(P67=0,"",IF(SUM(P59:P62)/P67&gt;=0.2,"Pass","Fail"))</f>
        <v>Pass</v>
      </c>
      <c r="K50" s="447"/>
      <c r="L50" s="107" t="s">
        <v>756</v>
      </c>
      <c r="M50" s="94">
        <f>M49*12</f>
        <v>919248</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4340</v>
      </c>
      <c r="NQ50" s="2482">
        <v>50</v>
      </c>
    </row>
    <row r="51" spans="1:381" ht="6.95" customHeight="1">
      <c r="A51" s="3563" t="s">
        <v>5023</v>
      </c>
      <c r="B51" s="3517"/>
      <c r="C51" s="3517"/>
      <c r="D51" s="3517"/>
      <c r="E51" s="3517"/>
      <c r="F51" s="3517"/>
      <c r="G51" s="3517"/>
      <c r="H51" s="3517"/>
      <c r="I51" s="3517"/>
      <c r="J51" s="3517"/>
      <c r="K51" s="3517"/>
      <c r="L51" s="3517"/>
      <c r="M51" s="3517"/>
      <c r="N51" s="3517"/>
      <c r="O51" s="3517"/>
      <c r="P51" s="3517"/>
      <c r="Q51" s="3517"/>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7"/>
      <c r="B52" s="3517"/>
      <c r="C52" s="3517"/>
      <c r="D52" s="3517"/>
      <c r="E52" s="3517"/>
      <c r="F52" s="3517"/>
      <c r="G52" s="3517"/>
      <c r="H52" s="3517"/>
      <c r="I52" s="3517"/>
      <c r="J52" s="3517"/>
      <c r="K52" s="3517"/>
      <c r="L52" s="3517"/>
      <c r="M52" s="3517"/>
      <c r="N52" s="3517"/>
      <c r="O52" s="3517"/>
      <c r="P52" s="3517"/>
      <c r="Q52" s="3517"/>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4535</v>
      </c>
      <c r="O53" s="3555" t="s">
        <v>5146</v>
      </c>
      <c r="P53" s="3556"/>
      <c r="S53" s="3504" t="str">
        <f>B53</f>
        <v>UNIT SUMMARY</v>
      </c>
      <c r="T53" s="3504"/>
      <c r="U53" s="3504"/>
      <c r="V53" s="3504"/>
      <c r="AY53" s="358"/>
      <c r="BD53" s="358"/>
      <c r="LO53" s="360"/>
      <c r="MD53" s="356"/>
      <c r="NQ53" s="2483">
        <v>53</v>
      </c>
    </row>
    <row r="54" spans="1:381" ht="14.25" customHeight="1">
      <c r="A54" s="10"/>
      <c r="B54" s="10"/>
      <c r="K54" s="144" t="s">
        <v>4537</v>
      </c>
      <c r="O54" s="3513" t="s">
        <v>5147</v>
      </c>
      <c r="P54" s="3514"/>
      <c r="S54" s="95"/>
      <c r="T54" s="95"/>
      <c r="U54" s="367"/>
      <c r="AY54" s="358"/>
      <c r="BD54" s="358"/>
      <c r="LO54" s="360"/>
      <c r="MD54" s="356"/>
      <c r="NQ54" s="2482">
        <v>54</v>
      </c>
    </row>
    <row r="55" spans="1:381" ht="14.65" customHeight="1">
      <c r="A55" s="10"/>
      <c r="B55" s="10" t="s">
        <v>4389</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5" t="s">
        <v>3943</v>
      </c>
      <c r="B56" s="3515"/>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16" t="s">
        <v>3099</v>
      </c>
      <c r="R56" s="876"/>
      <c r="S56" s="3508"/>
      <c r="T56" s="3509"/>
      <c r="U56" s="3509"/>
      <c r="V56" s="3509"/>
      <c r="W56" s="351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5"/>
      <c r="B57" s="3515"/>
      <c r="C57" s="72"/>
      <c r="D57" s="1"/>
      <c r="E57" s="1"/>
      <c r="F57" s="1"/>
      <c r="G57" s="62"/>
      <c r="H57" s="81" t="s">
        <v>3556</v>
      </c>
      <c r="I57" s="29"/>
      <c r="J57" s="62"/>
      <c r="K57" s="1068">
        <f>AC49</f>
        <v>0</v>
      </c>
      <c r="L57" s="1069">
        <f>AD49</f>
        <v>0</v>
      </c>
      <c r="M57" s="1069">
        <f>AE49</f>
        <v>0</v>
      </c>
      <c r="N57" s="1069">
        <f>AF49</f>
        <v>0</v>
      </c>
      <c r="O57" s="1070">
        <f>AG49</f>
        <v>0</v>
      </c>
      <c r="P57" s="732">
        <f t="shared" si="344"/>
        <v>0</v>
      </c>
      <c r="Q57" s="3516"/>
      <c r="R57" s="876"/>
      <c r="S57" s="3488"/>
      <c r="T57" s="3489"/>
      <c r="U57" s="3489"/>
      <c r="V57" s="3489"/>
      <c r="W57" s="3490"/>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5"/>
      <c r="B58" s="3515"/>
      <c r="C58" s="72"/>
      <c r="D58" s="1"/>
      <c r="E58" s="1"/>
      <c r="F58" s="1"/>
      <c r="G58" s="62"/>
      <c r="H58" s="81" t="s">
        <v>1080</v>
      </c>
      <c r="I58" s="29"/>
      <c r="J58" s="62"/>
      <c r="K58" s="1068">
        <f>AH49</f>
        <v>0</v>
      </c>
      <c r="L58" s="1069">
        <f>AI49</f>
        <v>0</v>
      </c>
      <c r="M58" s="1069">
        <f>AJ49</f>
        <v>0</v>
      </c>
      <c r="N58" s="1069">
        <f>AK49</f>
        <v>0</v>
      </c>
      <c r="O58" s="1070">
        <f>AL49</f>
        <v>0</v>
      </c>
      <c r="P58" s="732">
        <f t="shared" si="344"/>
        <v>0</v>
      </c>
      <c r="Q58" s="3516"/>
      <c r="R58" s="876"/>
      <c r="S58" s="3488"/>
      <c r="T58" s="3489"/>
      <c r="U58" s="3489"/>
      <c r="V58" s="3489"/>
      <c r="W58" s="3490"/>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5"/>
      <c r="B59" s="3515"/>
      <c r="C59" s="72"/>
      <c r="D59" s="1"/>
      <c r="E59" s="1"/>
      <c r="F59" s="1"/>
      <c r="G59" s="62"/>
      <c r="H59" s="81" t="s">
        <v>112</v>
      </c>
      <c r="I59" s="29"/>
      <c r="J59" s="899"/>
      <c r="K59" s="1089">
        <f>AM49</f>
        <v>0</v>
      </c>
      <c r="L59" s="1090">
        <f>AN49</f>
        <v>26</v>
      </c>
      <c r="M59" s="1090">
        <f>AO49</f>
        <v>27</v>
      </c>
      <c r="N59" s="1090">
        <f>AP49</f>
        <v>5</v>
      </c>
      <c r="O59" s="1091">
        <f>AQ49</f>
        <v>0</v>
      </c>
      <c r="P59" s="465">
        <f t="shared" si="344"/>
        <v>58</v>
      </c>
      <c r="Q59" s="3516"/>
      <c r="R59" s="876"/>
      <c r="S59" s="3488"/>
      <c r="T59" s="3489"/>
      <c r="U59" s="3489"/>
      <c r="V59" s="3489"/>
      <c r="W59" s="3490"/>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5"/>
      <c r="B60" s="3515"/>
      <c r="C60" s="72"/>
      <c r="D60" s="1"/>
      <c r="E60" s="1"/>
      <c r="F60" s="1"/>
      <c r="G60" s="62"/>
      <c r="H60" s="81" t="s">
        <v>3557</v>
      </c>
      <c r="I60" s="29"/>
      <c r="J60" s="899"/>
      <c r="K60" s="1068">
        <f>AR49</f>
        <v>0</v>
      </c>
      <c r="L60" s="1069">
        <f>AS49</f>
        <v>0</v>
      </c>
      <c r="M60" s="1069">
        <f>AT49</f>
        <v>0</v>
      </c>
      <c r="N60" s="1069">
        <f>AU49</f>
        <v>0</v>
      </c>
      <c r="O60" s="1070">
        <f>AV49</f>
        <v>0</v>
      </c>
      <c r="P60" s="732">
        <f t="shared" si="344"/>
        <v>0</v>
      </c>
      <c r="Q60" s="3516"/>
      <c r="R60" s="876"/>
      <c r="S60" s="3488"/>
      <c r="T60" s="3489"/>
      <c r="U60" s="3489"/>
      <c r="V60" s="3489"/>
      <c r="W60" s="3490"/>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5"/>
      <c r="B61" s="3515"/>
      <c r="C61" s="72"/>
      <c r="D61" s="1"/>
      <c r="E61" s="1"/>
      <c r="F61" s="1"/>
      <c r="G61" s="62"/>
      <c r="H61" s="81" t="s">
        <v>3558</v>
      </c>
      <c r="I61" s="29"/>
      <c r="J61" s="62"/>
      <c r="K61" s="1068">
        <f>AW49</f>
        <v>0</v>
      </c>
      <c r="L61" s="1069">
        <f>AX49</f>
        <v>0</v>
      </c>
      <c r="M61" s="1069">
        <f>AY49</f>
        <v>0</v>
      </c>
      <c r="N61" s="1069">
        <f>AZ49</f>
        <v>0</v>
      </c>
      <c r="O61" s="1070">
        <f>BA49</f>
        <v>0</v>
      </c>
      <c r="P61" s="732">
        <f t="shared" si="344"/>
        <v>0</v>
      </c>
      <c r="Q61" s="3516"/>
      <c r="R61" s="876"/>
      <c r="S61" s="3488"/>
      <c r="T61" s="3489"/>
      <c r="U61" s="3489"/>
      <c r="V61" s="3489"/>
      <c r="W61" s="3490"/>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5"/>
      <c r="B62" s="3515"/>
      <c r="C62" s="4"/>
      <c r="D62" s="1"/>
      <c r="E62" s="1"/>
      <c r="F62" s="1"/>
      <c r="G62" s="62"/>
      <c r="H62" s="81" t="s">
        <v>3559</v>
      </c>
      <c r="I62" s="29"/>
      <c r="J62" s="62"/>
      <c r="K62" s="1071">
        <f>BB49</f>
        <v>0</v>
      </c>
      <c r="L62" s="1072">
        <f>BC49</f>
        <v>0</v>
      </c>
      <c r="M62" s="1072">
        <f>BD49</f>
        <v>0</v>
      </c>
      <c r="N62" s="1072">
        <f>BE49</f>
        <v>0</v>
      </c>
      <c r="O62" s="1073">
        <f>BF49</f>
        <v>0</v>
      </c>
      <c r="P62" s="465">
        <f t="shared" si="344"/>
        <v>0</v>
      </c>
      <c r="Q62" s="3516"/>
      <c r="R62" s="876"/>
      <c r="S62" s="3488"/>
      <c r="T62" s="3489"/>
      <c r="U62" s="3489"/>
      <c r="V62" s="3489"/>
      <c r="W62" s="3490"/>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5"/>
      <c r="B63" s="3515"/>
      <c r="C63" s="81" t="s">
        <v>3641</v>
      </c>
      <c r="D63" s="1"/>
      <c r="E63" s="1"/>
      <c r="F63" s="1"/>
      <c r="G63" s="62"/>
      <c r="H63" s="68"/>
      <c r="I63" s="44"/>
      <c r="J63" s="62"/>
      <c r="K63" s="1033">
        <f>SUM(K56:K62)</f>
        <v>0</v>
      </c>
      <c r="L63" s="1033">
        <f>SUM(L56:L62)</f>
        <v>26</v>
      </c>
      <c r="M63" s="1033">
        <f>SUM(M56:M62)</f>
        <v>27</v>
      </c>
      <c r="N63" s="1033">
        <f>SUM(N56:N62)</f>
        <v>5</v>
      </c>
      <c r="O63" s="1033">
        <f>SUM(O56:O62)</f>
        <v>0</v>
      </c>
      <c r="P63" s="1033">
        <f t="shared" si="344"/>
        <v>58</v>
      </c>
      <c r="Q63" s="3517"/>
      <c r="S63" s="3488"/>
      <c r="T63" s="3489"/>
      <c r="U63" s="3489"/>
      <c r="V63" s="3489"/>
      <c r="W63" s="3490"/>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5"/>
      <c r="B64" s="3515"/>
      <c r="D64" s="1"/>
      <c r="E64" s="1"/>
      <c r="F64" s="1"/>
      <c r="G64" s="62"/>
      <c r="H64" s="81" t="s">
        <v>290</v>
      </c>
      <c r="I64" s="29"/>
      <c r="J64" s="62"/>
      <c r="K64" s="733">
        <f>BG49</f>
        <v>0</v>
      </c>
      <c r="L64" s="733">
        <f>BH49</f>
        <v>8</v>
      </c>
      <c r="M64" s="733">
        <f>BI49</f>
        <v>4</v>
      </c>
      <c r="N64" s="733">
        <f>BJ49</f>
        <v>2</v>
      </c>
      <c r="O64" s="733">
        <f>BK49</f>
        <v>0</v>
      </c>
      <c r="P64" s="733">
        <f t="shared" si="344"/>
        <v>14</v>
      </c>
      <c r="S64" s="3488"/>
      <c r="T64" s="3489"/>
      <c r="U64" s="3489"/>
      <c r="V64" s="3489"/>
      <c r="W64" s="3490"/>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5"/>
      <c r="B65" s="3515"/>
      <c r="C65" s="1038" t="s">
        <v>1069</v>
      </c>
      <c r="D65" s="1038"/>
      <c r="E65" s="1038"/>
      <c r="F65" s="1038"/>
      <c r="G65" s="1039"/>
      <c r="H65" s="1375"/>
      <c r="I65" s="42"/>
      <c r="J65" s="1039"/>
      <c r="K65" s="1040">
        <f>SUM(K63:K64)</f>
        <v>0</v>
      </c>
      <c r="L65" s="1040">
        <f>SUM(L63:L64)</f>
        <v>34</v>
      </c>
      <c r="M65" s="1040">
        <f>SUM(M63:M64)</f>
        <v>31</v>
      </c>
      <c r="N65" s="1040">
        <f>SUM(N63:N64)</f>
        <v>7</v>
      </c>
      <c r="O65" s="1040">
        <f>SUM(O63:O64)</f>
        <v>0</v>
      </c>
      <c r="P65" s="1040">
        <f t="shared" si="344"/>
        <v>72</v>
      </c>
      <c r="S65" s="3488"/>
      <c r="T65" s="3489"/>
      <c r="U65" s="3489"/>
      <c r="V65" s="3489"/>
      <c r="W65" s="3490"/>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5"/>
      <c r="B66" s="3515"/>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88"/>
      <c r="T66" s="3489"/>
      <c r="U66" s="3489"/>
      <c r="V66" s="3489"/>
      <c r="W66" s="3490"/>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5"/>
      <c r="B67" s="3515"/>
      <c r="C67" s="4" t="s">
        <v>1662</v>
      </c>
      <c r="D67" s="1"/>
      <c r="E67" s="1"/>
      <c r="F67" s="1"/>
      <c r="G67" s="62"/>
      <c r="H67" s="81"/>
      <c r="I67" s="29"/>
      <c r="J67" s="62"/>
      <c r="K67" s="1032">
        <f>SUM(K65:K66)</f>
        <v>0</v>
      </c>
      <c r="L67" s="1032">
        <f>SUM(L65:L66)</f>
        <v>34</v>
      </c>
      <c r="M67" s="1032">
        <f>SUM(M65:M66)</f>
        <v>31</v>
      </c>
      <c r="N67" s="1032">
        <f>SUM(N65:N66)</f>
        <v>7</v>
      </c>
      <c r="O67" s="1032">
        <f>SUM(O65:O66)</f>
        <v>0</v>
      </c>
      <c r="P67" s="1032">
        <f t="shared" si="344"/>
        <v>72</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5"/>
      <c r="B68" s="351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5"/>
      <c r="B69" s="3515"/>
      <c r="C69" s="3518" t="s">
        <v>3649</v>
      </c>
      <c r="D69" s="3518"/>
      <c r="E69" s="3518"/>
      <c r="F69" s="351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5"/>
      <c r="B70" s="3515"/>
      <c r="C70" s="3518"/>
      <c r="D70" s="3518"/>
      <c r="E70" s="3518"/>
      <c r="F70" s="3518"/>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3937</v>
      </c>
      <c r="S70" s="3508"/>
      <c r="T70" s="3509"/>
      <c r="U70" s="3509"/>
      <c r="V70" s="3509"/>
      <c r="W70" s="351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5"/>
      <c r="B71" s="3515"/>
      <c r="C71" s="655"/>
      <c r="D71" s="6"/>
      <c r="E71" s="6"/>
      <c r="F71" s="6"/>
      <c r="G71" s="6"/>
      <c r="H71" s="81" t="s">
        <v>4382</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8"/>
      <c r="T71" s="3489"/>
      <c r="U71" s="3489"/>
      <c r="V71" s="3489"/>
      <c r="W71" s="3490"/>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5"/>
      <c r="B72" s="3515"/>
      <c r="C72" s="655"/>
      <c r="D72" s="6"/>
      <c r="E72" s="6"/>
      <c r="F72" s="6"/>
      <c r="G72" s="1419"/>
      <c r="H72" s="1377" t="s">
        <v>4383</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8"/>
      <c r="T72" s="3489"/>
      <c r="U72" s="3489"/>
      <c r="V72" s="3489"/>
      <c r="W72" s="3490"/>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5"/>
      <c r="B73" s="3515"/>
      <c r="C73" s="655"/>
      <c r="D73" s="3519" t="s">
        <v>3936</v>
      </c>
      <c r="E73" s="3519"/>
      <c r="F73" s="3519"/>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8"/>
      <c r="T73" s="3489"/>
      <c r="U73" s="3489"/>
      <c r="V73" s="3489"/>
      <c r="W73" s="3490"/>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9"/>
      <c r="E74" s="3519"/>
      <c r="F74" s="3519"/>
      <c r="G74" s="6"/>
      <c r="H74" s="81" t="s">
        <v>4382</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8"/>
      <c r="T74" s="3489"/>
      <c r="U74" s="3489"/>
      <c r="V74" s="3489"/>
      <c r="W74" s="3490"/>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9"/>
      <c r="E75" s="3519"/>
      <c r="F75" s="3519"/>
      <c r="G75" s="1419"/>
      <c r="H75" s="1377" t="s">
        <v>4383</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8"/>
      <c r="T75" s="3489"/>
      <c r="U75" s="3489"/>
      <c r="V75" s="3489"/>
      <c r="W75" s="3490"/>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3935</v>
      </c>
      <c r="D76" s="3519"/>
      <c r="E76" s="3519"/>
      <c r="F76" s="3519"/>
      <c r="G76" s="6"/>
      <c r="H76" s="81" t="s">
        <v>1080</v>
      </c>
      <c r="I76" s="29"/>
      <c r="J76" s="1"/>
      <c r="K76" s="1372" t="str">
        <f t="shared" ref="K76:P76" si="349">IF(OR(K58=0,K67=0),"",K58/K67)</f>
        <v/>
      </c>
      <c r="L76" s="1373" t="str">
        <f t="shared" si="349"/>
        <v/>
      </c>
      <c r="M76" s="1373" t="str">
        <f t="shared" si="349"/>
        <v/>
      </c>
      <c r="N76" s="1373" t="str">
        <f t="shared" si="349"/>
        <v/>
      </c>
      <c r="O76" s="1373" t="str">
        <f t="shared" si="349"/>
        <v/>
      </c>
      <c r="P76" s="1374" t="str">
        <f t="shared" si="349"/>
        <v/>
      </c>
      <c r="S76" s="3488"/>
      <c r="T76" s="3489"/>
      <c r="U76" s="3489"/>
      <c r="V76" s="3489"/>
      <c r="W76" s="3490"/>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9"/>
      <c r="E77" s="3519"/>
      <c r="F77" s="3519"/>
      <c r="G77" s="6"/>
      <c r="H77" s="81" t="s">
        <v>4382</v>
      </c>
      <c r="I77" s="29"/>
      <c r="J77" s="1"/>
      <c r="K77" s="1424" t="str">
        <f>IF(OR(K58=0,P76="",K67=0),"",P76*K67)</f>
        <v/>
      </c>
      <c r="L77" s="1424" t="str">
        <f>IF(OR(L58=0,P76="",L67=0),"",P76*L67)</f>
        <v/>
      </c>
      <c r="M77" s="1424" t="str">
        <f>IF(OR(M58=0,P76="",M67=0),"",P76*M67)</f>
        <v/>
      </c>
      <c r="N77" s="1424" t="str">
        <f>IF(OR(N58=0,P76="",N67=0),"",P76*N67)</f>
        <v/>
      </c>
      <c r="O77" s="1424" t="str">
        <f>IF(OR(O58=0,P76="",O67=0),"",P76*O67)</f>
        <v/>
      </c>
      <c r="P77" s="1425" t="str">
        <f>IF(OR(P76="",P67=0),"",P76*P67)</f>
        <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9"/>
      <c r="E78" s="3519"/>
      <c r="F78" s="3519"/>
      <c r="G78" s="1419"/>
      <c r="H78" s="1377" t="s">
        <v>4383</v>
      </c>
      <c r="I78" s="1345"/>
      <c r="J78" s="1"/>
      <c r="K78" s="1426" t="str">
        <f t="shared" ref="K78:P78" si="350">IF(OR(K77="",K58=0),"", K58-K77)</f>
        <v/>
      </c>
      <c r="L78" s="1426" t="str">
        <f t="shared" si="350"/>
        <v/>
      </c>
      <c r="M78" s="1426" t="str">
        <f t="shared" si="350"/>
        <v/>
      </c>
      <c r="N78" s="1426" t="str">
        <f t="shared" si="350"/>
        <v/>
      </c>
      <c r="O78" s="1426" t="str">
        <f t="shared" si="350"/>
        <v/>
      </c>
      <c r="P78" s="1426" t="str">
        <f t="shared" si="350"/>
        <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3935</v>
      </c>
      <c r="D79" s="1343"/>
      <c r="E79" s="1343"/>
      <c r="F79" s="6"/>
      <c r="G79" s="6"/>
      <c r="H79" s="81" t="s">
        <v>112</v>
      </c>
      <c r="I79" s="29"/>
      <c r="J79" s="1"/>
      <c r="K79" s="1372" t="str">
        <f t="shared" ref="K79:P79" si="351">IF(OR(K59=0,K67=0),"",K59/K67)</f>
        <v/>
      </c>
      <c r="L79" s="1373">
        <f t="shared" si="351"/>
        <v>0.76470588235294112</v>
      </c>
      <c r="M79" s="1373">
        <f t="shared" si="351"/>
        <v>0.87096774193548387</v>
      </c>
      <c r="N79" s="1373">
        <f t="shared" si="351"/>
        <v>0.7142857142857143</v>
      </c>
      <c r="O79" s="1373" t="str">
        <f t="shared" si="351"/>
        <v/>
      </c>
      <c r="P79" s="1374">
        <f t="shared" si="351"/>
        <v>0.80555555555555558</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4382</v>
      </c>
      <c r="I80" s="29"/>
      <c r="J80" s="1"/>
      <c r="K80" s="1424" t="str">
        <f>IF(OR(K59=0,P79="",K67=0),"",P79*K67)</f>
        <v/>
      </c>
      <c r="L80" s="1424">
        <f>IF(OR(L59=0,P79="",L67=0),"",P79*L67)</f>
        <v>27.388888888888889</v>
      </c>
      <c r="M80" s="1424">
        <f>IF(OR(M59=0,P79="",M67=0),"",P79*M67)</f>
        <v>24.972222222222221</v>
      </c>
      <c r="N80" s="1424">
        <f>IF(OR(N59=0,P79="",N67=0),"",P79*N67)</f>
        <v>5.6388888888888893</v>
      </c>
      <c r="O80" s="1424" t="str">
        <f>IF(OR(O59=0,P79="",O67=0),"",P79*O67)</f>
        <v/>
      </c>
      <c r="P80" s="1425">
        <f>IF(OR(P79="",P67=0),"",P79*P67)</f>
        <v>58</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4383</v>
      </c>
      <c r="I81" s="1345"/>
      <c r="J81" s="1"/>
      <c r="K81" s="1426" t="str">
        <f t="shared" ref="K81:P81" si="352">IF(OR(K80="",K59=0),"", K59-K80)</f>
        <v/>
      </c>
      <c r="L81" s="1426">
        <f t="shared" si="352"/>
        <v>-1.3888888888888893</v>
      </c>
      <c r="M81" s="1426">
        <f t="shared" si="352"/>
        <v>2.0277777777777786</v>
      </c>
      <c r="N81" s="1426">
        <f t="shared" si="352"/>
        <v>-0.63888888888888928</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3935</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4382</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4383</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3935</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4382</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4383</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3935</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4382</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4383</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508"/>
      <c r="T93" s="3509"/>
      <c r="U93" s="3509"/>
      <c r="V93" s="3509"/>
      <c r="W93" s="351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88"/>
      <c r="T94" s="3489"/>
      <c r="U94" s="3489"/>
      <c r="V94" s="3489"/>
      <c r="W94" s="3490"/>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8"/>
      <c r="T95" s="3489"/>
      <c r="U95" s="3489"/>
      <c r="V95" s="3489"/>
      <c r="W95" s="3490"/>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8"/>
      <c r="T96" s="3489"/>
      <c r="U96" s="3489"/>
      <c r="V96" s="3489"/>
      <c r="W96" s="3490"/>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88"/>
      <c r="T97" s="3489"/>
      <c r="U97" s="3489"/>
      <c r="V97" s="3489"/>
      <c r="W97" s="3490"/>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88"/>
      <c r="T98" s="3489"/>
      <c r="U98" s="3489"/>
      <c r="V98" s="3489"/>
      <c r="W98" s="3490"/>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88"/>
      <c r="T99" s="3489"/>
      <c r="U99" s="3489"/>
      <c r="V99" s="3489"/>
      <c r="W99" s="3490"/>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3749</v>
      </c>
      <c r="H102" s="68"/>
      <c r="L102" s="3501" t="str">
        <f>O53</f>
        <v>40% of Units at 60% of AMI</v>
      </c>
      <c r="M102" s="3502"/>
      <c r="N102" s="3502"/>
      <c r="O102" s="3503"/>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508"/>
      <c r="T104" s="3509"/>
      <c r="U104" s="3509"/>
      <c r="V104" s="3509"/>
      <c r="W104" s="351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88"/>
      <c r="T105" s="3489"/>
      <c r="U105" s="3489"/>
      <c r="V105" s="3489"/>
      <c r="W105" s="3490"/>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8"/>
      <c r="T106" s="3489"/>
      <c r="U106" s="3489"/>
      <c r="V106" s="3489"/>
      <c r="W106" s="3490"/>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8"/>
      <c r="T107" s="3489"/>
      <c r="U107" s="3489"/>
      <c r="V107" s="3489"/>
      <c r="W107" s="3490"/>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88"/>
      <c r="T108" s="3489"/>
      <c r="U108" s="3489"/>
      <c r="V108" s="3489"/>
      <c r="W108" s="3490"/>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88"/>
      <c r="T109" s="3489"/>
      <c r="U109" s="3489"/>
      <c r="V109" s="3489"/>
      <c r="W109" s="3490"/>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88"/>
      <c r="T110" s="3489"/>
      <c r="U110" s="3489"/>
      <c r="V110" s="3489"/>
      <c r="W110" s="3490"/>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6" t="s">
        <v>35</v>
      </c>
      <c r="D113" s="3506"/>
      <c r="E113" s="81" t="s">
        <v>4824</v>
      </c>
      <c r="F113" s="1"/>
      <c r="G113" s="62"/>
      <c r="H113" s="81" t="s">
        <v>1341</v>
      </c>
      <c r="I113" s="29"/>
      <c r="J113" s="62"/>
      <c r="K113" s="1065">
        <f>GG49</f>
        <v>0</v>
      </c>
      <c r="L113" s="1066">
        <f>GH49</f>
        <v>26</v>
      </c>
      <c r="M113" s="1066">
        <f>GI49</f>
        <v>27</v>
      </c>
      <c r="N113" s="1066">
        <f>GJ49</f>
        <v>5</v>
      </c>
      <c r="O113" s="1067">
        <f>GK49</f>
        <v>0</v>
      </c>
      <c r="P113" s="736">
        <f t="shared" ref="P113:P123" si="361">SUM(K113:O113)</f>
        <v>58</v>
      </c>
      <c r="S113" s="3508"/>
      <c r="T113" s="3509"/>
      <c r="U113" s="3509"/>
      <c r="V113" s="3509"/>
      <c r="W113" s="351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6"/>
      <c r="D114" s="3506"/>
      <c r="E114" s="81"/>
      <c r="F114" s="1"/>
      <c r="G114" s="62"/>
      <c r="H114" s="81" t="s">
        <v>290</v>
      </c>
      <c r="I114" s="29"/>
      <c r="J114" s="62"/>
      <c r="K114" s="1071">
        <f>GL49</f>
        <v>0</v>
      </c>
      <c r="L114" s="1072">
        <f>GM49</f>
        <v>8</v>
      </c>
      <c r="M114" s="1072">
        <f>GN49</f>
        <v>4</v>
      </c>
      <c r="N114" s="1072">
        <f>GO49</f>
        <v>2</v>
      </c>
      <c r="O114" s="1073">
        <f>GP49</f>
        <v>0</v>
      </c>
      <c r="P114" s="733">
        <f t="shared" si="361"/>
        <v>14</v>
      </c>
      <c r="S114" s="3488"/>
      <c r="T114" s="3489"/>
      <c r="U114" s="3489"/>
      <c r="V114" s="3489"/>
      <c r="W114" s="3490"/>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6"/>
      <c r="D115" s="3506"/>
      <c r="E115" s="81"/>
      <c r="F115" s="1"/>
      <c r="G115" s="62"/>
      <c r="H115" s="141" t="s">
        <v>29</v>
      </c>
      <c r="I115" s="646" t="s">
        <v>4831</v>
      </c>
      <c r="J115" s="2096">
        <f>IF($P$67=0,0,P115/$P$67)</f>
        <v>1</v>
      </c>
      <c r="K115" s="1034">
        <f>SUM(K113:K114)+GQ49</f>
        <v>0</v>
      </c>
      <c r="L115" s="1034">
        <f>SUM(L113:L114)+GR49</f>
        <v>34</v>
      </c>
      <c r="M115" s="1034">
        <f>SUM(M113:M114)+GS49</f>
        <v>31</v>
      </c>
      <c r="N115" s="1034">
        <f>SUM(N113:N114)+GT49</f>
        <v>7</v>
      </c>
      <c r="O115" s="1034">
        <f>SUM(O113:O114)+GU49</f>
        <v>0</v>
      </c>
      <c r="P115" s="1034">
        <f t="shared" si="361"/>
        <v>72</v>
      </c>
      <c r="S115" s="3488"/>
      <c r="T115" s="3489"/>
      <c r="U115" s="3489"/>
      <c r="V115" s="3489"/>
      <c r="W115" s="3490"/>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6"/>
      <c r="D116" s="3506"/>
      <c r="E116" s="81" t="s">
        <v>1978</v>
      </c>
      <c r="F116" s="1"/>
      <c r="G116" s="62"/>
      <c r="H116" s="81" t="s">
        <v>1341</v>
      </c>
      <c r="I116" s="29"/>
      <c r="J116" s="62"/>
      <c r="K116" s="1065">
        <f>GV49</f>
        <v>0</v>
      </c>
      <c r="L116" s="1066">
        <f>GW49</f>
        <v>0</v>
      </c>
      <c r="M116" s="1066">
        <f>GX49</f>
        <v>0</v>
      </c>
      <c r="N116" s="1066">
        <f>GY49</f>
        <v>0</v>
      </c>
      <c r="O116" s="1067">
        <f>GZ49</f>
        <v>0</v>
      </c>
      <c r="P116" s="736">
        <f t="shared" si="361"/>
        <v>0</v>
      </c>
      <c r="S116" s="3488"/>
      <c r="T116" s="3489"/>
      <c r="U116" s="3489"/>
      <c r="V116" s="3489"/>
      <c r="W116" s="3490"/>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6"/>
      <c r="D117" s="3506"/>
      <c r="E117" s="81"/>
      <c r="F117" s="1"/>
      <c r="G117" s="62"/>
      <c r="H117" s="81" t="s">
        <v>290</v>
      </c>
      <c r="I117" s="29"/>
      <c r="J117" s="62"/>
      <c r="K117" s="1071">
        <f>HA49</f>
        <v>0</v>
      </c>
      <c r="L117" s="1072">
        <f>HB49</f>
        <v>0</v>
      </c>
      <c r="M117" s="1072">
        <f>HC49</f>
        <v>0</v>
      </c>
      <c r="N117" s="1072">
        <f>HD49</f>
        <v>0</v>
      </c>
      <c r="O117" s="1073">
        <f>HE49</f>
        <v>0</v>
      </c>
      <c r="P117" s="733">
        <f t="shared" si="361"/>
        <v>0</v>
      </c>
      <c r="S117" s="3488"/>
      <c r="T117" s="3489"/>
      <c r="U117" s="3489"/>
      <c r="V117" s="3489"/>
      <c r="W117" s="3490"/>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6"/>
      <c r="D118" s="3506"/>
      <c r="E118" s="81"/>
      <c r="F118" s="1"/>
      <c r="G118" s="62"/>
      <c r="H118" s="141" t="s">
        <v>29</v>
      </c>
      <c r="I118" s="646" t="s">
        <v>4831</v>
      </c>
      <c r="J118" s="2096">
        <f>IF($P$67=0,0,P118/$P$67)</f>
        <v>0</v>
      </c>
      <c r="K118" s="1034">
        <f>SUM(K116:K117)+HF49</f>
        <v>0</v>
      </c>
      <c r="L118" s="1034">
        <f>SUM(L116:L117)+HG49</f>
        <v>0</v>
      </c>
      <c r="M118" s="1034">
        <f>SUM(M116:M117)+HH49</f>
        <v>0</v>
      </c>
      <c r="N118" s="1034">
        <f>SUM(N116:N117)+HI49</f>
        <v>0</v>
      </c>
      <c r="O118" s="1034">
        <f>SUM(O116:O117)+HJ49</f>
        <v>0</v>
      </c>
      <c r="P118" s="1034">
        <f t="shared" si="361"/>
        <v>0</v>
      </c>
      <c r="S118" s="3488"/>
      <c r="T118" s="3489"/>
      <c r="U118" s="3489"/>
      <c r="V118" s="3489"/>
      <c r="W118" s="3490"/>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1" t="s">
        <v>1335</v>
      </c>
      <c r="F119" s="3511"/>
      <c r="G119" s="62"/>
      <c r="H119" s="81" t="s">
        <v>1341</v>
      </c>
      <c r="I119" s="29"/>
      <c r="J119" s="62"/>
      <c r="K119" s="1065">
        <f>HK49</f>
        <v>0</v>
      </c>
      <c r="L119" s="1066">
        <f>HL49</f>
        <v>0</v>
      </c>
      <c r="M119" s="1066">
        <f>HM49</f>
        <v>0</v>
      </c>
      <c r="N119" s="1066">
        <f>HN49</f>
        <v>0</v>
      </c>
      <c r="O119" s="1067">
        <f>HO49</f>
        <v>0</v>
      </c>
      <c r="P119" s="736">
        <f t="shared" si="361"/>
        <v>0</v>
      </c>
      <c r="S119" s="3488"/>
      <c r="T119" s="3489"/>
      <c r="U119" s="3489"/>
      <c r="V119" s="3489"/>
      <c r="W119" s="3490"/>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1"/>
      <c r="F120" s="3511"/>
      <c r="G120" s="62"/>
      <c r="H120" s="81" t="s">
        <v>290</v>
      </c>
      <c r="I120" s="29"/>
      <c r="J120" s="62"/>
      <c r="K120" s="1071">
        <f>HP49</f>
        <v>0</v>
      </c>
      <c r="L120" s="1072">
        <f>HQ49</f>
        <v>0</v>
      </c>
      <c r="M120" s="1072">
        <f>HR49</f>
        <v>0</v>
      </c>
      <c r="N120" s="1072">
        <f>HS49</f>
        <v>0</v>
      </c>
      <c r="O120" s="1073">
        <f>HT49</f>
        <v>0</v>
      </c>
      <c r="P120" s="733">
        <f t="shared" si="361"/>
        <v>0</v>
      </c>
      <c r="S120" s="3488"/>
      <c r="T120" s="3489"/>
      <c r="U120" s="3489"/>
      <c r="V120" s="3489"/>
      <c r="W120" s="3490"/>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4831</v>
      </c>
      <c r="J121" s="2096">
        <f>IF($P$67=0,0,P121/$P$67)</f>
        <v>0</v>
      </c>
      <c r="K121" s="1034">
        <f>SUM(K119:K120)+HU49</f>
        <v>0</v>
      </c>
      <c r="L121" s="1034">
        <f>SUM(L119:L120)+HV49</f>
        <v>0</v>
      </c>
      <c r="M121" s="1034">
        <f>SUM(M119:M120)+HW49</f>
        <v>0</v>
      </c>
      <c r="N121" s="1034">
        <f>SUM(N119:N120)+HX49</f>
        <v>0</v>
      </c>
      <c r="O121" s="1034">
        <f>SUM(O119:O120)+HY49</f>
        <v>0</v>
      </c>
      <c r="P121" s="1034">
        <f t="shared" si="361"/>
        <v>0</v>
      </c>
      <c r="S121" s="3488"/>
      <c r="T121" s="3489"/>
      <c r="U121" s="3489"/>
      <c r="V121" s="3489"/>
      <c r="W121" s="3490"/>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4825</v>
      </c>
      <c r="F122" s="1"/>
      <c r="G122" s="147"/>
      <c r="H122" s="87"/>
      <c r="I122" s="62"/>
      <c r="J122" s="62"/>
      <c r="K122" s="466"/>
      <c r="L122" s="466"/>
      <c r="M122" s="466"/>
      <c r="N122" s="466"/>
      <c r="O122" s="466"/>
      <c r="P122" s="462">
        <f t="shared" si="361"/>
        <v>0</v>
      </c>
      <c r="S122" s="3488"/>
      <c r="T122" s="3489"/>
      <c r="U122" s="3489"/>
      <c r="V122" s="3489"/>
      <c r="W122" s="3490"/>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2" t="str">
        <f>IF(AND('Part III-A-Uses of Funds'!$T$179="Yes",'Part VIII Scoring Criteria'!$O$339&gt;0,P123&lt;1),"SHOW HISTORIC UNITS HERE &gt;&gt;&gt;&gt;","")</f>
        <v/>
      </c>
      <c r="B123" s="3512"/>
      <c r="C123" s="3512"/>
      <c r="D123" s="3512"/>
      <c r="E123" s="382" t="s">
        <v>2937</v>
      </c>
      <c r="F123" s="1"/>
      <c r="G123" s="147"/>
      <c r="H123" s="87"/>
      <c r="I123" s="62"/>
      <c r="J123" s="62"/>
      <c r="K123" s="467"/>
      <c r="L123" s="467"/>
      <c r="M123" s="467"/>
      <c r="N123" s="467"/>
      <c r="O123" s="467"/>
      <c r="P123" s="463">
        <f t="shared" si="361"/>
        <v>0</v>
      </c>
      <c r="S123" s="3488"/>
      <c r="T123" s="3489"/>
      <c r="U123" s="3489"/>
      <c r="V123" s="3489"/>
      <c r="W123" s="3490"/>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8"/>
      <c r="T124" s="3489"/>
      <c r="U124" s="3489"/>
      <c r="V124" s="3489"/>
      <c r="W124" s="3490"/>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6" t="s">
        <v>4823</v>
      </c>
      <c r="D127" s="3506"/>
      <c r="E127" s="81" t="s">
        <v>4763</v>
      </c>
      <c r="F127" s="1"/>
      <c r="G127" s="147"/>
      <c r="H127" s="87"/>
      <c r="I127" s="62"/>
      <c r="J127" s="62"/>
      <c r="K127" s="2460"/>
      <c r="L127" s="72" t="s">
        <v>4826</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6"/>
      <c r="D128" s="3506"/>
      <c r="E128" s="81"/>
      <c r="K128" s="2461"/>
      <c r="L128" s="3506" t="s">
        <v>4827</v>
      </c>
      <c r="M128" s="3506"/>
      <c r="N128" s="3506"/>
      <c r="O128" s="3506"/>
      <c r="P128" s="3506"/>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6"/>
      <c r="D129" s="3506"/>
      <c r="E129" s="81"/>
      <c r="K129" s="464"/>
      <c r="L129" s="3506"/>
      <c r="M129" s="3506"/>
      <c r="N129" s="3506"/>
      <c r="O129" s="3506"/>
      <c r="P129" s="3506"/>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5" t="s">
        <v>4387</v>
      </c>
      <c r="D131" s="3505"/>
      <c r="E131" s="895" t="s">
        <v>36</v>
      </c>
      <c r="F131" s="754"/>
      <c r="G131" s="896"/>
      <c r="H131" s="1378"/>
      <c r="I131" s="897"/>
      <c r="J131" s="898"/>
      <c r="K131" s="1086">
        <f t="shared" ref="K131:P131" si="362">SUM(K132:K139)</f>
        <v>0</v>
      </c>
      <c r="L131" s="1087">
        <f t="shared" si="362"/>
        <v>34</v>
      </c>
      <c r="M131" s="1087">
        <f t="shared" si="362"/>
        <v>31</v>
      </c>
      <c r="N131" s="1087">
        <f t="shared" si="362"/>
        <v>7</v>
      </c>
      <c r="O131" s="1088">
        <f t="shared" si="362"/>
        <v>0</v>
      </c>
      <c r="P131" s="1037">
        <f t="shared" si="362"/>
        <v>72</v>
      </c>
      <c r="S131" s="3508"/>
      <c r="T131" s="3509"/>
      <c r="U131" s="3509"/>
      <c r="V131" s="3509"/>
      <c r="W131" s="3510"/>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6"/>
      <c r="D132" s="3506"/>
      <c r="E132" s="81"/>
      <c r="F132" s="1"/>
      <c r="G132" s="62"/>
      <c r="H132" s="1342" t="s">
        <v>4187</v>
      </c>
      <c r="I132" s="33"/>
      <c r="J132" s="899"/>
      <c r="K132" s="1068">
        <f>JS49</f>
        <v>0</v>
      </c>
      <c r="L132" s="1069">
        <f>JT49</f>
        <v>34</v>
      </c>
      <c r="M132" s="1069">
        <f>JU49</f>
        <v>31</v>
      </c>
      <c r="N132" s="1069">
        <f>JV49</f>
        <v>7</v>
      </c>
      <c r="O132" s="1070">
        <f>JW49</f>
        <v>0</v>
      </c>
      <c r="P132" s="732">
        <f t="shared" ref="P132:P147" si="363">SUM(K132:O132)</f>
        <v>72</v>
      </c>
      <c r="S132" s="3488"/>
      <c r="T132" s="3489"/>
      <c r="U132" s="3489"/>
      <c r="V132" s="3489"/>
      <c r="W132" s="3490"/>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6"/>
      <c r="D133" s="3506"/>
      <c r="E133" s="81"/>
      <c r="F133" s="1"/>
      <c r="G133" s="62"/>
      <c r="H133" s="1379" t="s">
        <v>2925</v>
      </c>
      <c r="I133" s="73"/>
      <c r="J133" s="899"/>
      <c r="K133" s="1603">
        <f>KC49</f>
        <v>0</v>
      </c>
      <c r="L133" s="1604">
        <f>KD49</f>
        <v>0</v>
      </c>
      <c r="M133" s="1604">
        <f>KE49</f>
        <v>0</v>
      </c>
      <c r="N133" s="1604">
        <f>KF49</f>
        <v>0</v>
      </c>
      <c r="O133" s="1605">
        <f>KG49</f>
        <v>0</v>
      </c>
      <c r="P133" s="1615">
        <f t="shared" si="363"/>
        <v>0</v>
      </c>
      <c r="S133" s="3488"/>
      <c r="T133" s="3489"/>
      <c r="U133" s="3489"/>
      <c r="V133" s="3489"/>
      <c r="W133" s="3490"/>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6"/>
      <c r="D134" s="3506"/>
      <c r="E134" s="81"/>
      <c r="F134" s="1"/>
      <c r="G134" s="62"/>
      <c r="H134" s="1342" t="s">
        <v>4374</v>
      </c>
      <c r="I134" s="33"/>
      <c r="J134" s="899"/>
      <c r="K134" s="1068">
        <f>JX49</f>
        <v>0</v>
      </c>
      <c r="L134" s="1069">
        <f>JY49</f>
        <v>0</v>
      </c>
      <c r="M134" s="1069">
        <f>JZ49</f>
        <v>0</v>
      </c>
      <c r="N134" s="1069">
        <f>KA49</f>
        <v>0</v>
      </c>
      <c r="O134" s="1070">
        <f>KB49</f>
        <v>0</v>
      </c>
      <c r="P134" s="732">
        <f t="shared" si="363"/>
        <v>0</v>
      </c>
      <c r="S134" s="3488"/>
      <c r="T134" s="3489"/>
      <c r="U134" s="3489"/>
      <c r="V134" s="3489"/>
      <c r="W134" s="3490"/>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6"/>
      <c r="D135" s="3506"/>
      <c r="E135" s="81"/>
      <c r="F135" s="1"/>
      <c r="G135" s="62"/>
      <c r="H135" s="1379" t="s">
        <v>2925</v>
      </c>
      <c r="I135" s="73"/>
      <c r="J135" s="899"/>
      <c r="K135" s="1603">
        <f>KH49</f>
        <v>0</v>
      </c>
      <c r="L135" s="1604">
        <f>KI49</f>
        <v>0</v>
      </c>
      <c r="M135" s="1604">
        <f>KJ49</f>
        <v>0</v>
      </c>
      <c r="N135" s="1604">
        <f>KK49</f>
        <v>0</v>
      </c>
      <c r="O135" s="1605">
        <f>KL49</f>
        <v>0</v>
      </c>
      <c r="P135" s="1615">
        <f t="shared" si="363"/>
        <v>0</v>
      </c>
      <c r="S135" s="3488"/>
      <c r="T135" s="3489"/>
      <c r="U135" s="3489"/>
      <c r="V135" s="3489"/>
      <c r="W135" s="3490"/>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6"/>
      <c r="D136" s="3506"/>
      <c r="E136" s="81"/>
      <c r="F136" s="1"/>
      <c r="G136" s="62"/>
      <c r="H136" s="1342" t="s">
        <v>4189</v>
      </c>
      <c r="I136" s="33"/>
      <c r="J136" s="62"/>
      <c r="K136" s="1092">
        <f>KM49</f>
        <v>0</v>
      </c>
      <c r="L136" s="1093">
        <f>KN49</f>
        <v>0</v>
      </c>
      <c r="M136" s="1093">
        <f>KO49</f>
        <v>0</v>
      </c>
      <c r="N136" s="1093">
        <f>KP49</f>
        <v>0</v>
      </c>
      <c r="O136" s="1094">
        <f>KQ49</f>
        <v>0</v>
      </c>
      <c r="P136" s="468">
        <f t="shared" si="363"/>
        <v>0</v>
      </c>
      <c r="S136" s="3488"/>
      <c r="T136" s="3489"/>
      <c r="U136" s="3489"/>
      <c r="V136" s="3489"/>
      <c r="W136" s="3490"/>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6"/>
      <c r="D137" s="3506"/>
      <c r="E137" s="81"/>
      <c r="F137" s="1"/>
      <c r="G137" s="62"/>
      <c r="H137" s="1379" t="s">
        <v>2925</v>
      </c>
      <c r="I137" s="73"/>
      <c r="J137" s="62"/>
      <c r="K137" s="1611">
        <f>KW49</f>
        <v>0</v>
      </c>
      <c r="L137" s="1612">
        <f>KX49</f>
        <v>0</v>
      </c>
      <c r="M137" s="1612">
        <f>KY49</f>
        <v>0</v>
      </c>
      <c r="N137" s="1612">
        <f>KZ49</f>
        <v>0</v>
      </c>
      <c r="O137" s="1613">
        <f>LA49</f>
        <v>0</v>
      </c>
      <c r="P137" s="1614">
        <f t="shared" si="363"/>
        <v>0</v>
      </c>
      <c r="S137" s="3488"/>
      <c r="T137" s="3489"/>
      <c r="U137" s="3489"/>
      <c r="V137" s="3489"/>
      <c r="W137" s="3490"/>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6"/>
      <c r="D138" s="3506"/>
      <c r="E138" s="81"/>
      <c r="F138" s="1"/>
      <c r="G138" s="62"/>
      <c r="H138" s="1342" t="s">
        <v>4381</v>
      </c>
      <c r="I138" s="33"/>
      <c r="J138" s="62"/>
      <c r="K138" s="1092">
        <f>KR49</f>
        <v>0</v>
      </c>
      <c r="L138" s="1093">
        <f>KS49</f>
        <v>0</v>
      </c>
      <c r="M138" s="1093">
        <f>KT49</f>
        <v>0</v>
      </c>
      <c r="N138" s="1093">
        <f>KU49</f>
        <v>0</v>
      </c>
      <c r="O138" s="1094">
        <f>KV49</f>
        <v>0</v>
      </c>
      <c r="P138" s="468">
        <f t="shared" si="363"/>
        <v>0</v>
      </c>
      <c r="S138" s="3488"/>
      <c r="T138" s="3489"/>
      <c r="U138" s="3489"/>
      <c r="V138" s="3489"/>
      <c r="W138" s="3490"/>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6"/>
      <c r="D139" s="3506"/>
      <c r="E139" s="81"/>
      <c r="F139" s="1"/>
      <c r="G139" s="62"/>
      <c r="H139" s="1379" t="s">
        <v>2925</v>
      </c>
      <c r="I139" s="73"/>
      <c r="J139" s="62"/>
      <c r="K139" s="1611">
        <f>LB49</f>
        <v>0</v>
      </c>
      <c r="L139" s="1612">
        <f>LC49</f>
        <v>0</v>
      </c>
      <c r="M139" s="1612">
        <f>LD49</f>
        <v>0</v>
      </c>
      <c r="N139" s="1612">
        <f>LE49</f>
        <v>0</v>
      </c>
      <c r="O139" s="1613">
        <f>LF49</f>
        <v>0</v>
      </c>
      <c r="P139" s="1614">
        <f t="shared" si="363"/>
        <v>0</v>
      </c>
      <c r="S139" s="3488"/>
      <c r="T139" s="3489"/>
      <c r="U139" s="3489"/>
      <c r="V139" s="3489"/>
      <c r="W139" s="3490"/>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4376</v>
      </c>
      <c r="F140" s="1"/>
      <c r="G140" s="62"/>
      <c r="H140" s="1342"/>
      <c r="I140" s="33"/>
      <c r="J140" s="62"/>
      <c r="K140" s="1065">
        <f>IE49</f>
        <v>0</v>
      </c>
      <c r="L140" s="1066">
        <f>IF49</f>
        <v>0</v>
      </c>
      <c r="M140" s="1066">
        <f>IG49</f>
        <v>0</v>
      </c>
      <c r="N140" s="1066">
        <f>IH49</f>
        <v>0</v>
      </c>
      <c r="O140" s="1067">
        <f>II49</f>
        <v>0</v>
      </c>
      <c r="P140" s="1599">
        <f t="shared" si="363"/>
        <v>0</v>
      </c>
      <c r="S140" s="3488"/>
      <c r="T140" s="3489"/>
      <c r="U140" s="3489"/>
      <c r="V140" s="3489"/>
      <c r="W140" s="3490"/>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8"/>
      <c r="T141" s="3489"/>
      <c r="U141" s="3489"/>
      <c r="V141" s="3489"/>
      <c r="W141" s="3490"/>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4377</v>
      </c>
      <c r="F142" s="1"/>
      <c r="G142" s="62"/>
      <c r="H142" s="1342"/>
      <c r="I142" s="33"/>
      <c r="J142" s="62"/>
      <c r="K142" s="1092">
        <f>JI49</f>
        <v>0</v>
      </c>
      <c r="L142" s="1093">
        <f>JJ49</f>
        <v>0</v>
      </c>
      <c r="M142" s="1093">
        <f>JK49</f>
        <v>0</v>
      </c>
      <c r="N142" s="1093">
        <f>JL49</f>
        <v>0</v>
      </c>
      <c r="O142" s="1094">
        <f>JM49</f>
        <v>0</v>
      </c>
      <c r="P142" s="1600">
        <f t="shared" si="363"/>
        <v>0</v>
      </c>
      <c r="S142" s="3488"/>
      <c r="T142" s="3489"/>
      <c r="U142" s="3489"/>
      <c r="V142" s="3489"/>
      <c r="W142" s="3490"/>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8"/>
      <c r="T143" s="3489"/>
      <c r="U143" s="3489"/>
      <c r="V143" s="3489"/>
      <c r="W143" s="3490"/>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4183</v>
      </c>
      <c r="F144" s="1"/>
      <c r="G144" s="62"/>
      <c r="H144" s="1342"/>
      <c r="I144" s="33"/>
      <c r="J144" s="62"/>
      <c r="K144" s="1092">
        <f>IY49</f>
        <v>0</v>
      </c>
      <c r="L144" s="1093">
        <f>IZ49</f>
        <v>0</v>
      </c>
      <c r="M144" s="1093">
        <f>JA49</f>
        <v>0</v>
      </c>
      <c r="N144" s="1093">
        <f>JB49</f>
        <v>0</v>
      </c>
      <c r="O144" s="1094">
        <f>JC49</f>
        <v>0</v>
      </c>
      <c r="P144" s="1600">
        <f t="shared" si="363"/>
        <v>0</v>
      </c>
      <c r="S144" s="3488"/>
      <c r="T144" s="3489"/>
      <c r="U144" s="3489"/>
      <c r="V144" s="3489"/>
      <c r="W144" s="3490"/>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8"/>
      <c r="T145" s="3489"/>
      <c r="U145" s="3489"/>
      <c r="V145" s="3489"/>
      <c r="W145" s="3490"/>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8"/>
      <c r="T146" s="3489"/>
      <c r="U146" s="3489"/>
      <c r="V146" s="3489"/>
      <c r="W146" s="3490"/>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3749</v>
      </c>
      <c r="H149" s="68"/>
      <c r="L149" s="3501" t="str">
        <f>$O$53</f>
        <v>40% of Units at 60% of AMI</v>
      </c>
      <c r="M149" s="3502"/>
      <c r="N149" s="3502"/>
      <c r="O149" s="3503"/>
      <c r="P149" s="62"/>
      <c r="S149" s="3504" t="str">
        <f>B149</f>
        <v>UNIT SUMMARY (Continued)</v>
      </c>
      <c r="T149" s="3504"/>
      <c r="U149" s="3504"/>
      <c r="V149" s="3504"/>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5" t="s">
        <v>4388</v>
      </c>
      <c r="D151" s="3505"/>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8"/>
      <c r="T151" s="3509"/>
      <c r="U151" s="3509"/>
      <c r="V151" s="3509"/>
      <c r="W151" s="3510"/>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6"/>
      <c r="D152" s="3506"/>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8"/>
      <c r="T152" s="3489"/>
      <c r="U152" s="3489"/>
      <c r="V152" s="3489"/>
      <c r="W152" s="3490"/>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6"/>
      <c r="D153" s="3506"/>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8"/>
      <c r="T153" s="3489"/>
      <c r="U153" s="3489"/>
      <c r="V153" s="3489"/>
      <c r="W153" s="3490"/>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6"/>
      <c r="D154" s="3506"/>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8"/>
      <c r="T154" s="3489"/>
      <c r="U154" s="3489"/>
      <c r="V154" s="3489"/>
      <c r="W154" s="3490"/>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6"/>
      <c r="D155" s="3506"/>
      <c r="E155" s="81" t="s">
        <v>2922</v>
      </c>
      <c r="F155" s="147"/>
      <c r="G155" s="62"/>
      <c r="H155" s="1342"/>
      <c r="I155" s="33"/>
      <c r="J155" s="899"/>
      <c r="K155" s="1101">
        <f t="shared" ref="K155:O158" si="367">K132+K136</f>
        <v>0</v>
      </c>
      <c r="L155" s="1102">
        <f t="shared" si="367"/>
        <v>34</v>
      </c>
      <c r="M155" s="1102">
        <f t="shared" si="367"/>
        <v>31</v>
      </c>
      <c r="N155" s="1102">
        <f t="shared" si="367"/>
        <v>7</v>
      </c>
      <c r="O155" s="1103">
        <f t="shared" si="367"/>
        <v>0</v>
      </c>
      <c r="P155" s="1600">
        <f t="shared" si="365"/>
        <v>72</v>
      </c>
      <c r="S155" s="3488"/>
      <c r="T155" s="3489"/>
      <c r="U155" s="3489"/>
      <c r="V155" s="3489"/>
      <c r="W155" s="3490"/>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6"/>
      <c r="D156" s="3506"/>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8"/>
      <c r="T156" s="3489"/>
      <c r="U156" s="3489"/>
      <c r="V156" s="3489"/>
      <c r="W156" s="3490"/>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6"/>
      <c r="D157" s="3506"/>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8"/>
      <c r="T157" s="3489"/>
      <c r="U157" s="3489"/>
      <c r="V157" s="3489"/>
      <c r="W157" s="3490"/>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7" t="s">
        <v>3765</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7"/>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4390</v>
      </c>
      <c r="C160" s="1"/>
      <c r="D160" s="1"/>
      <c r="E160" s="1"/>
      <c r="F160" s="1"/>
      <c r="G160" s="62"/>
      <c r="H160" s="33"/>
      <c r="I160" s="33"/>
      <c r="J160" s="62"/>
      <c r="K160" s="471"/>
      <c r="L160" s="471"/>
      <c r="M160" s="471"/>
      <c r="N160" s="471"/>
      <c r="O160" s="471"/>
      <c r="P160" s="471"/>
      <c r="Q160" s="3507"/>
      <c r="S160" s="3175" t="str">
        <f>B160</f>
        <v>UNIT SQUARE FOOTAGE</v>
      </c>
      <c r="T160" s="3175"/>
      <c r="U160" s="3175"/>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8"/>
      <c r="T161" s="3509"/>
      <c r="U161" s="3509"/>
      <c r="V161" s="3509"/>
      <c r="W161" s="3510"/>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88"/>
      <c r="T162" s="3489"/>
      <c r="U162" s="3489"/>
      <c r="V162" s="3489"/>
      <c r="W162" s="3490"/>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0</v>
      </c>
      <c r="N163" s="1105">
        <f>EV49</f>
        <v>0</v>
      </c>
      <c r="O163" s="1106">
        <f>EW49</f>
        <v>0</v>
      </c>
      <c r="P163" s="1029">
        <f t="shared" si="368"/>
        <v>0</v>
      </c>
      <c r="Q163" s="1228" t="str">
        <f t="shared" si="369"/>
        <v/>
      </c>
      <c r="S163" s="3488"/>
      <c r="T163" s="3489"/>
      <c r="U163" s="3489"/>
      <c r="V163" s="3489"/>
      <c r="W163" s="3490"/>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19344</v>
      </c>
      <c r="M164" s="1165">
        <f>EZ49</f>
        <v>31806</v>
      </c>
      <c r="N164" s="1165">
        <f>FA49</f>
        <v>6420</v>
      </c>
      <c r="O164" s="1166">
        <f>FB49</f>
        <v>0</v>
      </c>
      <c r="P164" s="1167">
        <f t="shared" si="368"/>
        <v>57570</v>
      </c>
      <c r="Q164" s="1228">
        <f t="shared" si="369"/>
        <v>992.58620689655174</v>
      </c>
      <c r="S164" s="3488"/>
      <c r="T164" s="3489"/>
      <c r="U164" s="3489"/>
      <c r="V164" s="3489"/>
      <c r="W164" s="3490"/>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88"/>
      <c r="T165" s="3489"/>
      <c r="U165" s="3489"/>
      <c r="V165" s="3489"/>
      <c r="W165" s="3490"/>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88"/>
      <c r="T166" s="3489"/>
      <c r="U166" s="3489"/>
      <c r="V166" s="3489"/>
      <c r="W166" s="3490"/>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88"/>
      <c r="T167" s="3489"/>
      <c r="U167" s="3489"/>
      <c r="V167" s="3489"/>
      <c r="W167" s="3490"/>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19344</v>
      </c>
      <c r="M168" s="1602">
        <f>SUM(M161:M167)</f>
        <v>31806</v>
      </c>
      <c r="N168" s="1602">
        <f>SUM(N161:N167)</f>
        <v>6420</v>
      </c>
      <c r="O168" s="1602">
        <f>SUM(O161:O167)</f>
        <v>0</v>
      </c>
      <c r="P168" s="1602">
        <f>SUM(K168:O168)</f>
        <v>57570</v>
      </c>
      <c r="S168" s="3488"/>
      <c r="T168" s="3489"/>
      <c r="U168" s="3489"/>
      <c r="V168" s="3489"/>
      <c r="W168" s="3490"/>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5952</v>
      </c>
      <c r="M169" s="1108">
        <f>FT49</f>
        <v>4712</v>
      </c>
      <c r="N169" s="1108">
        <f>FU49</f>
        <v>2568</v>
      </c>
      <c r="O169" s="1109">
        <f>FV49</f>
        <v>0</v>
      </c>
      <c r="P169" s="1036">
        <f>SUM(K169:O169)</f>
        <v>13232</v>
      </c>
      <c r="Q169" s="1175">
        <f>IF(OR(P64=0,P64=""),"",P169/P64)</f>
        <v>945.14285714285711</v>
      </c>
      <c r="S169" s="3488"/>
      <c r="T169" s="3489"/>
      <c r="U169" s="3489"/>
      <c r="V169" s="3489"/>
      <c r="W169" s="3490"/>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25296</v>
      </c>
      <c r="M170" s="1601">
        <f>SUM(M168:M169)</f>
        <v>36518</v>
      </c>
      <c r="N170" s="1601">
        <f>SUM(N168:N169)</f>
        <v>8988</v>
      </c>
      <c r="O170" s="1601">
        <f>SUM(O168:O169)</f>
        <v>0</v>
      </c>
      <c r="P170" s="1601">
        <f>SUM(K170:O170)</f>
        <v>70802</v>
      </c>
      <c r="S170" s="3488"/>
      <c r="T170" s="3489"/>
      <c r="U170" s="3489"/>
      <c r="V170" s="3489"/>
      <c r="W170" s="3490"/>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8"/>
      <c r="T171" s="3489"/>
      <c r="U171" s="3489"/>
      <c r="V171" s="3489"/>
      <c r="W171" s="3490"/>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25296</v>
      </c>
      <c r="M172" s="1035">
        <f>SUM(M170:M171)</f>
        <v>36518</v>
      </c>
      <c r="N172" s="1035">
        <f>SUM(N170:N171)</f>
        <v>8988</v>
      </c>
      <c r="O172" s="1035">
        <f>SUM(O170:O171)</f>
        <v>0</v>
      </c>
      <c r="P172" s="1035">
        <f>SUM(K172:O172)</f>
        <v>70802</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3762</v>
      </c>
      <c r="D175" s="1"/>
      <c r="E175" s="1"/>
      <c r="F175" s="1"/>
      <c r="G175" s="1"/>
      <c r="H175" s="1"/>
      <c r="I175" s="1"/>
      <c r="J175" s="1"/>
      <c r="K175" s="1227" t="str">
        <f>IF(OR(K67="",K67=0),"",K172/K67)</f>
        <v/>
      </c>
      <c r="L175" s="1227">
        <f>IF(OR(L67="",L67=0),"",L172/L67)</f>
        <v>744</v>
      </c>
      <c r="M175" s="1227">
        <f>IF(OR(M67="",M67=0),"",M172/M67)</f>
        <v>1178</v>
      </c>
      <c r="N175" s="1227">
        <f>IF(OR(N67="",N67=0),"",N172/N67)</f>
        <v>1284</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4540</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4536</v>
      </c>
      <c r="K178" s="3551">
        <v>5500</v>
      </c>
      <c r="L178" s="3552"/>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3">
        <f>P172+K178</f>
        <v>76302</v>
      </c>
      <c r="L179" s="3554"/>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7">
        <f>'Part VI-Pro Forma'!B10*M50</f>
        <v>18384.96</v>
      </c>
      <c r="I183" s="3497"/>
      <c r="J183" s="1342" t="s">
        <v>4645</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8"/>
      <c r="T187" s="3509"/>
      <c r="U187" s="3509"/>
      <c r="V187" s="3509"/>
      <c r="W187" s="3510"/>
      <c r="NQ187" s="2480">
        <v>187</v>
      </c>
    </row>
    <row r="188" spans="1:493" ht="15.6" customHeight="1">
      <c r="B188" s="81" t="s">
        <v>689</v>
      </c>
      <c r="C188" s="3498" t="s">
        <v>5148</v>
      </c>
      <c r="D188" s="3499"/>
      <c r="E188" s="3499"/>
      <c r="F188" s="3500"/>
      <c r="H188" s="694">
        <v>18384.96</v>
      </c>
      <c r="I188" s="694">
        <v>18752.659199999998</v>
      </c>
      <c r="J188" s="694">
        <v>19127.712383999999</v>
      </c>
      <c r="K188" s="694">
        <v>19510.266631679999</v>
      </c>
      <c r="L188" s="695">
        <v>19900.471964313598</v>
      </c>
      <c r="M188" s="694">
        <v>20298.481403599872</v>
      </c>
      <c r="N188" s="694">
        <v>20704.45103167187</v>
      </c>
      <c r="O188" s="694">
        <v>21118.540052305307</v>
      </c>
      <c r="P188" s="694">
        <v>21540.910853351412</v>
      </c>
      <c r="Q188" s="694">
        <v>21971.729070418442</v>
      </c>
      <c r="R188" s="662"/>
      <c r="S188" s="3488"/>
      <c r="T188" s="3489"/>
      <c r="U188" s="3489"/>
      <c r="V188" s="3489"/>
      <c r="W188" s="3490"/>
      <c r="NQ188" s="2482">
        <v>188</v>
      </c>
    </row>
    <row r="189" spans="1:493" ht="15.6" customHeight="1">
      <c r="B189" s="81"/>
      <c r="C189" s="81" t="s">
        <v>869</v>
      </c>
      <c r="D189" s="81"/>
      <c r="E189" s="81"/>
      <c r="F189" s="81"/>
      <c r="H189" s="696">
        <f>SUM(H187:H188)</f>
        <v>18384.96</v>
      </c>
      <c r="I189" s="696">
        <f>SUM(I187:I188)</f>
        <v>18752.659199999998</v>
      </c>
      <c r="J189" s="696">
        <f t="shared" ref="J189:Q189" si="370">SUM(J187:J188)</f>
        <v>19127.712383999999</v>
      </c>
      <c r="K189" s="696">
        <f t="shared" si="370"/>
        <v>19510.266631679999</v>
      </c>
      <c r="L189" s="696">
        <f t="shared" si="370"/>
        <v>19900.471964313598</v>
      </c>
      <c r="M189" s="696">
        <f t="shared" si="370"/>
        <v>20298.481403599872</v>
      </c>
      <c r="N189" s="696">
        <f t="shared" si="370"/>
        <v>20704.45103167187</v>
      </c>
      <c r="O189" s="696">
        <f t="shared" si="370"/>
        <v>21118.540052305307</v>
      </c>
      <c r="P189" s="696">
        <f t="shared" si="370"/>
        <v>21540.910853351412</v>
      </c>
      <c r="Q189" s="696">
        <f t="shared" si="370"/>
        <v>21971.729070418442</v>
      </c>
      <c r="R189" s="90"/>
      <c r="S189" s="3465"/>
      <c r="T189" s="3466"/>
      <c r="U189" s="3466"/>
      <c r="V189" s="3466"/>
      <c r="W189" s="346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8"/>
      <c r="T191" s="3509"/>
      <c r="U191" s="3509"/>
      <c r="V191" s="3509"/>
      <c r="W191" s="3510"/>
      <c r="NQ191" s="2482">
        <v>191</v>
      </c>
    </row>
    <row r="192" spans="1:493" ht="15.6" customHeight="1">
      <c r="B192" s="81" t="s">
        <v>689</v>
      </c>
      <c r="C192" s="3498"/>
      <c r="D192" s="3499"/>
      <c r="E192" s="3499"/>
      <c r="F192" s="3500"/>
      <c r="H192" s="694"/>
      <c r="I192" s="694"/>
      <c r="J192" s="694"/>
      <c r="K192" s="694"/>
      <c r="L192" s="695"/>
      <c r="M192" s="694"/>
      <c r="N192" s="694"/>
      <c r="O192" s="694"/>
      <c r="P192" s="694"/>
      <c r="Q192" s="694"/>
      <c r="R192" s="662"/>
      <c r="S192" s="3488"/>
      <c r="T192" s="3489"/>
      <c r="U192" s="3489"/>
      <c r="V192" s="3489"/>
      <c r="W192" s="3490"/>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8"/>
      <c r="T196" s="3509"/>
      <c r="U196" s="3509"/>
      <c r="V196" s="3509"/>
      <c r="W196" s="351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8" t="s">
        <v>5148</v>
      </c>
      <c r="D197" s="3499"/>
      <c r="E197" s="3499"/>
      <c r="F197" s="3500"/>
      <c r="H197" s="694">
        <v>22411.16365182681</v>
      </c>
      <c r="I197" s="694">
        <v>22859.386924863345</v>
      </c>
      <c r="J197" s="694">
        <v>23316.574663360614</v>
      </c>
      <c r="K197" s="694">
        <v>23782.906156627825</v>
      </c>
      <c r="L197" s="695">
        <v>24258.564279760383</v>
      </c>
      <c r="M197" s="694">
        <v>24743.73556535559</v>
      </c>
      <c r="N197" s="694">
        <v>25238.610276662701</v>
      </c>
      <c r="O197" s="694">
        <v>25743.382482195957</v>
      </c>
      <c r="P197" s="694">
        <v>26258.250131839875</v>
      </c>
      <c r="Q197" s="694">
        <v>26783.415134476672</v>
      </c>
      <c r="R197" s="662"/>
      <c r="S197" s="3488"/>
      <c r="T197" s="3489"/>
      <c r="U197" s="3489"/>
      <c r="V197" s="3489"/>
      <c r="W197" s="3490"/>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22411.16365182681</v>
      </c>
      <c r="I198" s="696">
        <f>SUM(I196:I197)</f>
        <v>22859.386924863345</v>
      </c>
      <c r="J198" s="696">
        <f t="shared" ref="J198:Q198" si="372">SUM(J196:J197)</f>
        <v>23316.574663360614</v>
      </c>
      <c r="K198" s="696">
        <f t="shared" si="372"/>
        <v>23782.906156627825</v>
      </c>
      <c r="L198" s="696">
        <f t="shared" si="372"/>
        <v>24258.564279760383</v>
      </c>
      <c r="M198" s="696">
        <f t="shared" si="372"/>
        <v>24743.73556535559</v>
      </c>
      <c r="N198" s="696">
        <f t="shared" si="372"/>
        <v>25238.610276662701</v>
      </c>
      <c r="O198" s="696">
        <f t="shared" si="372"/>
        <v>25743.382482195957</v>
      </c>
      <c r="P198" s="696">
        <f t="shared" si="372"/>
        <v>26258.250131839875</v>
      </c>
      <c r="Q198" s="696">
        <f t="shared" si="372"/>
        <v>26783.415134476672</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8"/>
      <c r="T200" s="3509"/>
      <c r="U200" s="3509"/>
      <c r="V200" s="3509"/>
      <c r="W200" s="3510"/>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8"/>
      <c r="D201" s="3499"/>
      <c r="E201" s="3499"/>
      <c r="F201" s="3500"/>
      <c r="H201" s="694"/>
      <c r="I201" s="694"/>
      <c r="J201" s="694"/>
      <c r="K201" s="694"/>
      <c r="L201" s="695"/>
      <c r="M201" s="694"/>
      <c r="N201" s="694"/>
      <c r="O201" s="694"/>
      <c r="P201" s="694"/>
      <c r="Q201" s="694"/>
      <c r="R201" s="662"/>
      <c r="S201" s="3488"/>
      <c r="T201" s="3489"/>
      <c r="U201" s="3489"/>
      <c r="V201" s="3489"/>
      <c r="W201" s="3490"/>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8"/>
      <c r="T205" s="3509"/>
      <c r="U205" s="3509"/>
      <c r="V205" s="3509"/>
      <c r="W205" s="351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8" t="s">
        <v>5148</v>
      </c>
      <c r="D206" s="3499"/>
      <c r="E206" s="3499"/>
      <c r="F206" s="3500"/>
      <c r="H206" s="694">
        <v>27319.083437166206</v>
      </c>
      <c r="I206" s="694">
        <v>27865.46510590953</v>
      </c>
      <c r="J206" s="694">
        <v>28422.774408027723</v>
      </c>
      <c r="K206" s="694">
        <v>28991.229896188277</v>
      </c>
      <c r="L206" s="695">
        <v>29571.054494112042</v>
      </c>
      <c r="M206" s="694">
        <v>30162.475583994285</v>
      </c>
      <c r="N206" s="694">
        <v>30765.72509567417</v>
      </c>
      <c r="O206" s="694">
        <v>31381.039597587653</v>
      </c>
      <c r="P206" s="694">
        <v>32008.660389539407</v>
      </c>
      <c r="Q206" s="694">
        <v>32648.833597330195</v>
      </c>
      <c r="R206" s="662"/>
      <c r="S206" s="3488"/>
      <c r="T206" s="3489"/>
      <c r="U206" s="3489"/>
      <c r="V206" s="3489"/>
      <c r="W206" s="3490"/>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27319.083437166206</v>
      </c>
      <c r="I207" s="696">
        <f>SUM(I205:I206)</f>
        <v>27865.46510590953</v>
      </c>
      <c r="J207" s="696">
        <f t="shared" ref="J207:Q207" si="374">SUM(J205:J206)</f>
        <v>28422.774408027723</v>
      </c>
      <c r="K207" s="696">
        <f t="shared" si="374"/>
        <v>28991.229896188277</v>
      </c>
      <c r="L207" s="696">
        <f t="shared" si="374"/>
        <v>29571.054494112042</v>
      </c>
      <c r="M207" s="696">
        <f t="shared" si="374"/>
        <v>30162.475583994285</v>
      </c>
      <c r="N207" s="696">
        <f t="shared" si="374"/>
        <v>30765.72509567417</v>
      </c>
      <c r="O207" s="696">
        <f t="shared" si="374"/>
        <v>31381.039597587653</v>
      </c>
      <c r="P207" s="696">
        <f t="shared" si="374"/>
        <v>32008.660389539407</v>
      </c>
      <c r="Q207" s="696">
        <f t="shared" si="374"/>
        <v>32648.833597330195</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8"/>
      <c r="T209" s="3509"/>
      <c r="U209" s="3509"/>
      <c r="V209" s="3509"/>
      <c r="W209" s="3510"/>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8"/>
      <c r="D210" s="3499"/>
      <c r="E210" s="3499"/>
      <c r="F210" s="3500"/>
      <c r="H210" s="694"/>
      <c r="I210" s="694"/>
      <c r="J210" s="694"/>
      <c r="K210" s="694"/>
      <c r="L210" s="695"/>
      <c r="M210" s="694"/>
      <c r="N210" s="694"/>
      <c r="O210" s="694"/>
      <c r="P210" s="694"/>
      <c r="Q210" s="694"/>
      <c r="R210" s="662"/>
      <c r="S210" s="3488"/>
      <c r="T210" s="3489"/>
      <c r="U210" s="3489"/>
      <c r="V210" s="3489"/>
      <c r="W210" s="3490"/>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8"/>
      <c r="T214" s="3509"/>
      <c r="U214" s="3509"/>
      <c r="V214" s="3509"/>
      <c r="W214" s="3510"/>
      <c r="NQ214" s="2482">
        <v>214</v>
      </c>
    </row>
    <row r="215" spans="1:493" ht="15.6" customHeight="1">
      <c r="B215" s="81" t="s">
        <v>689</v>
      </c>
      <c r="C215" s="3498" t="s">
        <v>5148</v>
      </c>
      <c r="D215" s="3499"/>
      <c r="E215" s="3499"/>
      <c r="F215" s="3500"/>
      <c r="H215" s="694">
        <v>33301.810269276801</v>
      </c>
      <c r="I215" s="694">
        <v>33967.846474662336</v>
      </c>
      <c r="J215" s="694">
        <v>34647.203404155582</v>
      </c>
      <c r="K215" s="694">
        <v>35340.147472238692</v>
      </c>
      <c r="L215" s="695">
        <v>36046.950421683468</v>
      </c>
      <c r="M215" s="68"/>
      <c r="N215" s="68"/>
      <c r="O215" s="68"/>
      <c r="P215" s="68"/>
      <c r="Q215" s="68"/>
      <c r="R215" s="6"/>
      <c r="S215" s="3488"/>
      <c r="T215" s="3489"/>
      <c r="U215" s="3489"/>
      <c r="V215" s="3489"/>
      <c r="W215" s="3490"/>
      <c r="NQ215" s="2482">
        <v>215</v>
      </c>
    </row>
    <row r="216" spans="1:493" ht="15.6" customHeight="1">
      <c r="B216" s="81"/>
      <c r="C216" s="81" t="s">
        <v>869</v>
      </c>
      <c r="D216" s="81"/>
      <c r="E216" s="81"/>
      <c r="F216" s="81"/>
      <c r="H216" s="696">
        <f>SUM(H214:H215)</f>
        <v>33301.810269276801</v>
      </c>
      <c r="I216" s="696">
        <f>SUM(I214:I215)</f>
        <v>33967.846474662336</v>
      </c>
      <c r="J216" s="696">
        <f>SUM(J214:J215)</f>
        <v>34647.203404155582</v>
      </c>
      <c r="K216" s="696">
        <f>SUM(K214:K215)</f>
        <v>35340.147472238692</v>
      </c>
      <c r="L216" s="696">
        <f>SUM(L214:L215)</f>
        <v>36046.950421683468</v>
      </c>
      <c r="M216" s="68"/>
      <c r="N216" s="68"/>
      <c r="O216" s="68"/>
      <c r="P216" s="68"/>
      <c r="Q216" s="68"/>
      <c r="R216" s="6"/>
      <c r="S216" s="3465"/>
      <c r="T216" s="3466"/>
      <c r="U216" s="3466"/>
      <c r="V216" s="3466"/>
      <c r="W216" s="346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8"/>
      <c r="T218" s="3509"/>
      <c r="U218" s="3509"/>
      <c r="V218" s="3509"/>
      <c r="W218" s="3510"/>
      <c r="NQ218" s="2483">
        <v>218</v>
      </c>
    </row>
    <row r="219" spans="1:493" ht="15.6" customHeight="1">
      <c r="B219" s="81" t="s">
        <v>689</v>
      </c>
      <c r="C219" s="3498"/>
      <c r="D219" s="3499"/>
      <c r="E219" s="3499"/>
      <c r="F219" s="3500"/>
      <c r="H219" s="694"/>
      <c r="I219" s="694"/>
      <c r="J219" s="694"/>
      <c r="K219" s="694"/>
      <c r="L219" s="695"/>
      <c r="M219" s="68"/>
      <c r="N219" s="68"/>
      <c r="O219" s="68"/>
      <c r="P219" s="68"/>
      <c r="Q219" s="68"/>
      <c r="R219" s="6"/>
      <c r="S219" s="3488"/>
      <c r="T219" s="3489"/>
      <c r="U219" s="3489"/>
      <c r="V219" s="3489"/>
      <c r="W219" s="3490"/>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53423</v>
      </c>
      <c r="R224" s="1"/>
      <c r="S224" s="3508"/>
      <c r="T224" s="3509"/>
      <c r="U224" s="3509"/>
      <c r="V224" s="3509"/>
      <c r="W224" s="3510"/>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9">
        <v>76000</v>
      </c>
      <c r="G225" s="3550"/>
      <c r="H225" s="1"/>
      <c r="I225" s="1" t="s">
        <v>1298</v>
      </c>
      <c r="K225" s="1"/>
      <c r="L225" s="3549"/>
      <c r="M225" s="3550"/>
      <c r="N225" s="1"/>
      <c r="O225" s="318">
        <f>+Q224/(P67*0.93)</f>
        <v>797.83452807646347</v>
      </c>
      <c r="P225" s="42" t="s">
        <v>2477</v>
      </c>
      <c r="Q225" s="1"/>
      <c r="R225" s="662"/>
      <c r="S225" s="3488"/>
      <c r="T225" s="3489"/>
      <c r="U225" s="3489"/>
      <c r="V225" s="3489"/>
      <c r="W225" s="3490"/>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4">
        <v>76000</v>
      </c>
      <c r="G226" s="3485"/>
      <c r="H226" s="1"/>
      <c r="I226" s="1" t="s">
        <v>1299</v>
      </c>
      <c r="K226" s="1"/>
      <c r="L226" s="3495"/>
      <c r="M226" s="3496"/>
      <c r="N226" s="1"/>
      <c r="O226" s="318">
        <f>+Q224/(P67*0.93)/12</f>
        <v>66.486210673038627</v>
      </c>
      <c r="P226" s="42" t="s">
        <v>2478</v>
      </c>
      <c r="Q226" s="1"/>
      <c r="R226" s="662"/>
      <c r="S226" s="3488"/>
      <c r="T226" s="3489"/>
      <c r="U226" s="3489"/>
      <c r="V226" s="3489"/>
      <c r="W226" s="3490"/>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4"/>
      <c r="G227" s="3485"/>
      <c r="H227" s="1"/>
      <c r="I227" s="1"/>
      <c r="K227" s="8" t="s">
        <v>184</v>
      </c>
      <c r="L227" s="3475">
        <f>SUM(L225:M226)</f>
        <v>0</v>
      </c>
      <c r="M227" s="3476"/>
      <c r="N227" s="1"/>
      <c r="O227" s="29" t="s">
        <v>3137</v>
      </c>
      <c r="P227" s="103"/>
      <c r="Q227" s="103"/>
      <c r="R227" s="662"/>
      <c r="S227" s="3488"/>
      <c r="T227" s="3489"/>
      <c r="U227" s="3489"/>
      <c r="V227" s="3489"/>
      <c r="W227" s="3490"/>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4525</v>
      </c>
      <c r="F228" s="3484"/>
      <c r="G228" s="3485"/>
      <c r="H228" s="1"/>
      <c r="I228" s="1"/>
      <c r="K228" s="1"/>
      <c r="L228" s="1"/>
      <c r="M228" s="1"/>
      <c r="N228" s="1"/>
      <c r="R228" s="659"/>
      <c r="S228" s="3488"/>
      <c r="T228" s="3489"/>
      <c r="U228" s="3489"/>
      <c r="V228" s="3489"/>
      <c r="W228" s="3490"/>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3889</v>
      </c>
      <c r="F229" s="3484"/>
      <c r="G229" s="3485"/>
      <c r="H229" s="1"/>
      <c r="I229" s="1"/>
      <c r="K229" s="1"/>
      <c r="L229" s="1"/>
      <c r="M229" s="1"/>
      <c r="N229" s="1"/>
      <c r="R229" s="659"/>
      <c r="S229" s="3488"/>
      <c r="T229" s="3489"/>
      <c r="U229" s="3489"/>
      <c r="V229" s="3489"/>
      <c r="W229" s="3490"/>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5" t="s">
        <v>46</v>
      </c>
      <c r="C230" s="3456"/>
      <c r="D230" s="3456"/>
      <c r="E230" s="3457"/>
      <c r="F230" s="3495"/>
      <c r="G230" s="3496"/>
      <c r="H230" s="1"/>
      <c r="I230" s="4" t="s">
        <v>1213</v>
      </c>
      <c r="K230" s="1"/>
      <c r="L230" s="1"/>
      <c r="M230" s="1"/>
      <c r="N230" s="1"/>
      <c r="R230" s="659"/>
      <c r="S230" s="3488"/>
      <c r="T230" s="3489"/>
      <c r="U230" s="3489"/>
      <c r="V230" s="3489"/>
      <c r="W230" s="3490"/>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5">
        <f>SUM(F225:G230)</f>
        <v>152000</v>
      </c>
      <c r="G231" s="3476"/>
      <c r="H231" s="1"/>
      <c r="I231" s="1" t="s">
        <v>1495</v>
      </c>
      <c r="K231" s="1"/>
      <c r="L231" s="3486">
        <v>1000</v>
      </c>
      <c r="M231" s="3487"/>
      <c r="N231" s="1"/>
      <c r="R231" s="1"/>
      <c r="S231" s="3488"/>
      <c r="T231" s="3489"/>
      <c r="U231" s="3489"/>
      <c r="V231" s="3489"/>
      <c r="W231" s="3490"/>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2">
        <v>8000</v>
      </c>
      <c r="M232" s="3483"/>
      <c r="N232" s="3473" t="str">
        <f>IF(Q234="","",IF(Q232&lt;Q234, "WARNING! OE may be below required minimum.",""))</f>
        <v/>
      </c>
      <c r="O232" s="4" t="s">
        <v>2024</v>
      </c>
      <c r="P232" s="1"/>
      <c r="Q232" s="325">
        <f>F231+F240+F251+L227+L235+L245+L251+Q224</f>
        <v>498004</v>
      </c>
      <c r="R232" s="1"/>
      <c r="S232" s="3488"/>
      <c r="T232" s="3489"/>
      <c r="U232" s="3489"/>
      <c r="V232" s="3489"/>
      <c r="W232" s="3490"/>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2">
        <v>3000</v>
      </c>
      <c r="M233" s="3483"/>
      <c r="N233" s="3473"/>
      <c r="O233" s="42" t="s">
        <v>2479</v>
      </c>
      <c r="P233" s="318">
        <f>+Q232/P67</f>
        <v>6916.7222222222226</v>
      </c>
      <c r="R233" s="660"/>
      <c r="S233" s="3488"/>
      <c r="T233" s="3489"/>
      <c r="U233" s="3489"/>
      <c r="V233" s="3489"/>
      <c r="W233" s="3490"/>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4341</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9">
        <v>500</v>
      </c>
      <c r="G234" s="3550"/>
      <c r="H234" s="1"/>
      <c r="I234" s="3458" t="s">
        <v>46</v>
      </c>
      <c r="J234" s="3459"/>
      <c r="K234" s="3460"/>
      <c r="L234" s="3493"/>
      <c r="M234" s="3494"/>
      <c r="N234" s="3473"/>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324000</v>
      </c>
      <c r="R234" s="1"/>
      <c r="S234" s="3488"/>
      <c r="T234" s="3489"/>
      <c r="U234" s="3489"/>
      <c r="V234" s="3489"/>
      <c r="W234" s="3490"/>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4">
        <v>10000</v>
      </c>
      <c r="G235" s="3485"/>
      <c r="H235" s="1"/>
      <c r="I235" s="4"/>
      <c r="K235" s="8" t="s">
        <v>184</v>
      </c>
      <c r="L235" s="3463">
        <f>SUM(L231:L234)</f>
        <v>12000</v>
      </c>
      <c r="M235" s="3545"/>
      <c r="N235" s="3473"/>
      <c r="O235" s="3548" t="s">
        <v>4828</v>
      </c>
      <c r="P235" s="3548"/>
      <c r="Q235" s="3548"/>
      <c r="R235" s="1"/>
      <c r="S235" s="3488"/>
      <c r="T235" s="3489"/>
      <c r="U235" s="3489"/>
      <c r="V235" s="3489"/>
      <c r="W235" s="3490"/>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4">
        <v>1000</v>
      </c>
      <c r="G236" s="3485"/>
      <c r="H236" s="1"/>
      <c r="N236" s="1"/>
      <c r="O236" s="3548"/>
      <c r="P236" s="3548"/>
      <c r="Q236" s="3548"/>
      <c r="R236" s="876"/>
      <c r="S236" s="3488"/>
      <c r="T236" s="3489"/>
      <c r="U236" s="3489"/>
      <c r="V236" s="3489"/>
      <c r="W236" s="3490"/>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4">
        <v>10000</v>
      </c>
      <c r="G237" s="3485"/>
      <c r="H237" s="1"/>
      <c r="L237" s="1"/>
      <c r="M237" s="1"/>
      <c r="N237" s="1"/>
      <c r="R237" s="876"/>
      <c r="S237" s="3488"/>
      <c r="T237" s="3489"/>
      <c r="U237" s="3489"/>
      <c r="V237" s="3489"/>
      <c r="W237" s="3490"/>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4342</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4">
        <v>3000</v>
      </c>
      <c r="G238" s="3485"/>
      <c r="H238" s="1"/>
      <c r="I238" s="4" t="s">
        <v>1295</v>
      </c>
      <c r="K238" s="248" t="s">
        <v>3758</v>
      </c>
      <c r="O238" s="1249" t="s">
        <v>3000</v>
      </c>
      <c r="P238" s="4"/>
      <c r="Q238" s="904">
        <f>Q247</f>
        <v>21600</v>
      </c>
      <c r="S238" s="3488"/>
      <c r="T238" s="3489"/>
      <c r="U238" s="3489"/>
      <c r="V238" s="3489"/>
      <c r="W238" s="3490"/>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5" t="s">
        <v>46</v>
      </c>
      <c r="C239" s="3456"/>
      <c r="D239" s="3456"/>
      <c r="E239" s="3457"/>
      <c r="F239" s="3495">
        <v>4000</v>
      </c>
      <c r="G239" s="3496"/>
      <c r="H239" s="1"/>
      <c r="I239" s="1" t="s">
        <v>1288</v>
      </c>
      <c r="K239" s="364">
        <f>L239/12/P67</f>
        <v>31.712962962962965</v>
      </c>
      <c r="L239" s="3486">
        <v>27400</v>
      </c>
      <c r="M239" s="3487"/>
      <c r="N239" s="3473" t="str">
        <f>IF(Q238&lt;Q247, "WARNING! RR proposed is below the DCA required minimum.","")</f>
        <v/>
      </c>
      <c r="O239" s="759" t="s">
        <v>3757</v>
      </c>
      <c r="P239" s="754"/>
      <c r="Q239" s="760">
        <f>Q238/P247</f>
        <v>300</v>
      </c>
      <c r="R239" s="659"/>
      <c r="S239" s="3488"/>
      <c r="T239" s="3489"/>
      <c r="U239" s="3489"/>
      <c r="V239" s="3489"/>
      <c r="W239" s="3490"/>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5">
        <f>SUM(F234:G239)</f>
        <v>28500</v>
      </c>
      <c r="G240" s="3476"/>
      <c r="H240" s="1"/>
      <c r="I240" s="1" t="s">
        <v>1289</v>
      </c>
      <c r="K240" s="364">
        <f>L240/12/P67</f>
        <v>0</v>
      </c>
      <c r="L240" s="3482"/>
      <c r="M240" s="3483"/>
      <c r="N240" s="3474"/>
      <c r="O240" s="3477" t="s">
        <v>3144</v>
      </c>
      <c r="P240" s="3478"/>
      <c r="Q240" s="3479"/>
      <c r="S240" s="3488"/>
      <c r="T240" s="3489"/>
      <c r="U240" s="3489"/>
      <c r="V240" s="3489"/>
      <c r="W240" s="3490"/>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3802</v>
      </c>
      <c r="K241" s="364">
        <f>L241/12/P67</f>
        <v>31.828703703703702</v>
      </c>
      <c r="L241" s="3482">
        <v>27500</v>
      </c>
      <c r="M241" s="3483"/>
      <c r="N241" s="3474"/>
      <c r="O241" s="753" t="s">
        <v>2457</v>
      </c>
      <c r="P241" s="657" t="s">
        <v>3198</v>
      </c>
      <c r="Q241" s="755" t="s">
        <v>2971</v>
      </c>
      <c r="R241" s="1"/>
      <c r="S241" s="3488"/>
      <c r="T241" s="3489"/>
      <c r="U241" s="3489"/>
      <c r="V241" s="3489"/>
      <c r="W241" s="3490"/>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4275</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9.2592592592592595</v>
      </c>
      <c r="L242" s="3482">
        <v>8000</v>
      </c>
      <c r="M242" s="3483"/>
      <c r="N242" s="3474"/>
      <c r="O242" s="498" t="s">
        <v>36</v>
      </c>
      <c r="Q242" s="499"/>
      <c r="R242" s="660"/>
      <c r="S242" s="3488"/>
      <c r="T242" s="3489"/>
      <c r="U242" s="3489"/>
      <c r="V242" s="3489"/>
      <c r="W242" s="3490"/>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6">
        <v>7500</v>
      </c>
      <c r="G243" s="3547"/>
      <c r="H243" s="1"/>
      <c r="I243" s="72" t="s">
        <v>4573</v>
      </c>
      <c r="K243" s="364">
        <f>L243/12/P67</f>
        <v>15</v>
      </c>
      <c r="L243" s="3482">
        <v>12960</v>
      </c>
      <c r="M243" s="3483"/>
      <c r="N243" s="3474"/>
      <c r="O243" s="386" t="s">
        <v>2969</v>
      </c>
      <c r="P243" s="661" t="str">
        <f>CONCATENATE(SUM(MF49:MJ49)," units x $",'DCA Underwriting Assumptions'!$Q$41," =")</f>
        <v>0 units x $400 =</v>
      </c>
      <c r="Q243" s="500">
        <f>SUM(MF49:MJ49)*'DCA Underwriting Assumptions'!$Q$41</f>
        <v>0</v>
      </c>
      <c r="R243" s="663"/>
      <c r="S243" s="3488"/>
      <c r="T243" s="3489"/>
      <c r="U243" s="3489"/>
      <c r="V243" s="3489"/>
      <c r="W243" s="3490"/>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1">
        <v>7500</v>
      </c>
      <c r="G244" s="3492"/>
      <c r="H244" s="1"/>
      <c r="I244" s="3480" t="s">
        <v>46</v>
      </c>
      <c r="J244" s="3481"/>
      <c r="K244" s="364">
        <f>L244/12/P67</f>
        <v>0</v>
      </c>
      <c r="L244" s="3493"/>
      <c r="M244" s="3494"/>
      <c r="N244" s="3474"/>
      <c r="O244" s="386" t="s">
        <v>2968</v>
      </c>
      <c r="P244" s="661" t="str">
        <f>CONCATENATE(SUM(MK49:MO49)," units x $",'DCA Underwriting Assumptions'!$Q$42," =")</f>
        <v>72 units x $300 =</v>
      </c>
      <c r="Q244" s="500">
        <f>SUM(MK49:MO49)*'DCA Underwriting Assumptions'!$Q$42</f>
        <v>21600</v>
      </c>
      <c r="S244" s="3488"/>
      <c r="T244" s="3489"/>
      <c r="U244" s="3489"/>
      <c r="V244" s="3489"/>
      <c r="W244" s="3490"/>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1">
        <v>12000</v>
      </c>
      <c r="G245" s="3492"/>
      <c r="H245" s="1"/>
      <c r="K245" s="8" t="s">
        <v>184</v>
      </c>
      <c r="L245" s="3463">
        <f>SUM(L239:L244)</f>
        <v>75860</v>
      </c>
      <c r="M245" s="3545"/>
      <c r="N245" s="3474"/>
      <c r="O245" s="501" t="s">
        <v>4394</v>
      </c>
      <c r="P245" s="661" t="str">
        <f>CONCATENATE(SUM(MP49:MT49)," units x $",'DCA Underwriting Assumptions'!$Q$43," =")</f>
        <v>0 units x $470 =</v>
      </c>
      <c r="Q245" s="500">
        <f>SUM(MP49:MT49)*'DCA Underwriting Assumptions'!$Q$43</f>
        <v>0</v>
      </c>
      <c r="R245" s="657"/>
      <c r="S245" s="3488"/>
      <c r="T245" s="3489"/>
      <c r="U245" s="3489"/>
      <c r="V245" s="3489"/>
      <c r="W245" s="3490"/>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4">
        <v>3500</v>
      </c>
      <c r="G246" s="3485"/>
      <c r="H246" s="1"/>
      <c r="O246" s="501" t="s">
        <v>2967</v>
      </c>
      <c r="P246" s="661" t="str">
        <f>CONCATENATE(P125," units x $",'DCA Underwriting Assumptions'!$Q$44," =")</f>
        <v>0 units x $420 =</v>
      </c>
      <c r="Q246" s="500">
        <f>P125*'DCA Underwriting Assumptions'!$Q$44</f>
        <v>0</v>
      </c>
      <c r="S246" s="3488"/>
      <c r="T246" s="3489"/>
      <c r="U246" s="3489"/>
      <c r="V246" s="3489"/>
      <c r="W246" s="3490"/>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4343</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4">
        <v>2500</v>
      </c>
      <c r="G247" s="3485"/>
      <c r="H247" s="1"/>
      <c r="I247" s="4" t="s">
        <v>1296</v>
      </c>
      <c r="O247" s="756" t="s">
        <v>2460</v>
      </c>
      <c r="P247" s="757">
        <f>SUM(MF49:MJ49)+SUM(MK49:MO49)+SUM(MP49:MT49)+P125</f>
        <v>72</v>
      </c>
      <c r="Q247" s="758">
        <f>SUM(Q243:Q246)</f>
        <v>21600</v>
      </c>
      <c r="R247" s="661"/>
      <c r="S247" s="3488"/>
      <c r="T247" s="3489"/>
      <c r="U247" s="3489"/>
      <c r="V247" s="3489"/>
      <c r="W247" s="3490"/>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4">
        <v>4000</v>
      </c>
      <c r="G248" s="3485"/>
      <c r="H248" s="1"/>
      <c r="I248" s="72" t="s">
        <v>3803</v>
      </c>
      <c r="K248" s="1"/>
      <c r="L248" s="3486">
        <v>103996</v>
      </c>
      <c r="M248" s="3487"/>
      <c r="R248" s="661"/>
      <c r="S248" s="3488"/>
      <c r="T248" s="3489"/>
      <c r="U248" s="3489"/>
      <c r="V248" s="3489"/>
      <c r="W248" s="3490"/>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4">
        <v>5000</v>
      </c>
      <c r="G249" s="3485"/>
      <c r="H249" s="1"/>
      <c r="I249" s="1" t="s">
        <v>140</v>
      </c>
      <c r="K249" s="1"/>
      <c r="L249" s="3482">
        <v>30225</v>
      </c>
      <c r="M249" s="3483"/>
      <c r="R249" s="661"/>
      <c r="S249" s="3488"/>
      <c r="T249" s="3489"/>
      <c r="U249" s="3489"/>
      <c r="V249" s="3489"/>
      <c r="W249" s="349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5" t="s">
        <v>46</v>
      </c>
      <c r="C250" s="3456"/>
      <c r="D250" s="3456"/>
      <c r="E250" s="3457"/>
      <c r="F250" s="3495"/>
      <c r="G250" s="3496"/>
      <c r="H250" s="1"/>
      <c r="I250" s="3458" t="s">
        <v>46</v>
      </c>
      <c r="J250" s="3459"/>
      <c r="K250" s="3460"/>
      <c r="L250" s="3543"/>
      <c r="M250" s="3544"/>
      <c r="N250" s="1"/>
      <c r="R250" s="661"/>
      <c r="S250" s="3488"/>
      <c r="T250" s="3489"/>
      <c r="U250" s="3489"/>
      <c r="V250" s="3489"/>
      <c r="W250" s="349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4344</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1">
        <f>SUM(F243:G250)</f>
        <v>42000</v>
      </c>
      <c r="G251" s="3462"/>
      <c r="H251" s="1"/>
      <c r="K251" s="8" t="s">
        <v>184</v>
      </c>
      <c r="L251" s="3463">
        <f>SUM(L247:L250)</f>
        <v>134221</v>
      </c>
      <c r="M251" s="3464"/>
      <c r="N251" s="1"/>
      <c r="O251" s="4" t="s">
        <v>2025</v>
      </c>
      <c r="P251" s="1"/>
      <c r="Q251" s="325">
        <f>Q232+Q238</f>
        <v>519604</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3747</v>
      </c>
      <c r="C255" s="8"/>
      <c r="D255" s="1"/>
      <c r="E255" s="1"/>
      <c r="H255" s="9"/>
      <c r="I255" s="1162" t="s">
        <v>3748</v>
      </c>
      <c r="K255" s="3468">
        <v>10000</v>
      </c>
      <c r="L255" s="3469"/>
      <c r="M255" s="1221" t="s">
        <v>3775</v>
      </c>
      <c r="N255" s="1163">
        <v>75</v>
      </c>
      <c r="O255" s="4" t="s">
        <v>3750</v>
      </c>
      <c r="P255" s="1"/>
      <c r="Q255" s="1183">
        <f>K255*N255</f>
        <v>750000</v>
      </c>
      <c r="R255" s="659"/>
      <c r="S255" s="3470"/>
      <c r="T255" s="3471"/>
      <c r="U255" s="3471"/>
      <c r="V255" s="3471"/>
      <c r="W255" s="3472"/>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3776</v>
      </c>
      <c r="C257" s="8"/>
      <c r="D257" s="1"/>
      <c r="E257" s="1"/>
      <c r="F257" s="9"/>
      <c r="G257" s="9"/>
      <c r="H257" s="1"/>
      <c r="I257" s="1"/>
      <c r="J257" s="1202" t="s">
        <v>2641</v>
      </c>
      <c r="K257" s="1162" t="s">
        <v>3778</v>
      </c>
      <c r="L257" s="1202" t="s">
        <v>2644</v>
      </c>
      <c r="M257" s="53" t="s">
        <v>3779</v>
      </c>
      <c r="N257" s="2907" t="s">
        <v>5149</v>
      </c>
      <c r="O257" s="72" t="s">
        <v>3777</v>
      </c>
      <c r="P257" s="1"/>
      <c r="Q257" s="1222">
        <v>5000</v>
      </c>
      <c r="R257" s="659"/>
      <c r="S257" s="3470"/>
      <c r="T257" s="3471"/>
      <c r="U257" s="3471"/>
      <c r="V257" s="3471"/>
      <c r="W257" s="3472"/>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4345</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3746</v>
      </c>
      <c r="B259" s="10" t="s">
        <v>529</v>
      </c>
      <c r="N259" s="10" t="s">
        <v>4541</v>
      </c>
      <c r="O259" s="10"/>
      <c r="NP259" s="1632"/>
      <c r="NQ259" s="2482">
        <v>259</v>
      </c>
    </row>
    <row r="260" spans="1:493" ht="409.5" customHeight="1">
      <c r="A260" s="3453" t="s">
        <v>5211</v>
      </c>
      <c r="B260" s="3453"/>
      <c r="C260" s="3453"/>
      <c r="D260" s="3453"/>
      <c r="E260" s="3453"/>
      <c r="F260" s="3453"/>
      <c r="G260" s="3453"/>
      <c r="H260" s="3453"/>
      <c r="I260" s="3453"/>
      <c r="J260" s="3453"/>
      <c r="K260" s="3453"/>
      <c r="L260" s="3453"/>
      <c r="M260" s="3453"/>
      <c r="N260" s="3454"/>
      <c r="O260" s="3454"/>
      <c r="P260" s="3454"/>
      <c r="Q260" s="3454"/>
      <c r="R260" s="2913" t="s">
        <v>3284</v>
      </c>
      <c r="S260" s="2909"/>
      <c r="T260" s="2909"/>
      <c r="U260" s="2909"/>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UH1VFpysxqyNTSKBTsXkXBvhqaX/Vs4D0yfPRzgFihrsD8Vofuj1erjW6nk7UaErncV3b/lBqWlv/R05NQufRA==" saltValue="6LtI7pGyBE/zADYSrL0Kp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4346</v>
      </c>
      <c r="C1" s="1631" t="s">
        <v>4347</v>
      </c>
      <c r="D1" s="1631" t="s">
        <v>4348</v>
      </c>
      <c r="E1" s="1631" t="s">
        <v>4349</v>
      </c>
      <c r="F1" s="1631" t="s">
        <v>4350</v>
      </c>
      <c r="G1" s="1631" t="s">
        <v>4351</v>
      </c>
      <c r="H1" s="1631" t="s">
        <v>4352</v>
      </c>
      <c r="I1" s="1631" t="s">
        <v>4353</v>
      </c>
      <c r="J1" s="1631" t="s">
        <v>4354</v>
      </c>
      <c r="K1" s="1631" t="s">
        <v>4355</v>
      </c>
      <c r="AA1" s="1633">
        <v>1</v>
      </c>
    </row>
    <row r="2" spans="1:27" ht="14.1" customHeight="1">
      <c r="A2" s="3577" t="str">
        <f>CONCATENATE("PART SIX - OPERATING PRO FORMA","  -  ",'Part I-Project Identification'!$O$7," ",'Part I-Project Identification'!$F$26,", ",'Part I-Project Identification'!F27,", ",'Part I-Project Identification'!J27," County")</f>
        <v>PART SIX - OPERATING PRO FORMA  -  2024-0 Wesley Square, Norcross, Gwinnett County</v>
      </c>
      <c r="B2" s="3578"/>
      <c r="C2" s="3578"/>
      <c r="D2" s="3578"/>
      <c r="E2" s="3578"/>
      <c r="F2" s="3578"/>
      <c r="G2" s="3578"/>
      <c r="H2" s="3578"/>
      <c r="I2" s="3578"/>
      <c r="J2" s="3578"/>
      <c r="K2" s="3579"/>
      <c r="L2" s="4"/>
      <c r="M2" s="4"/>
      <c r="N2" s="3580" t="str">
        <f>A2</f>
        <v>PART SIX - OPERATING PRO FORMA  -  2024-0 Wesley Square, Norcross, Gwinnett County</v>
      </c>
      <c r="O2" s="3580"/>
      <c r="P2" s="4"/>
      <c r="AA2" s="1633">
        <v>2</v>
      </c>
    </row>
    <row r="3" spans="1:27" ht="13.5" customHeight="1">
      <c r="A3" s="381"/>
      <c r="B3" s="381"/>
      <c r="C3" s="381"/>
      <c r="D3" s="381"/>
      <c r="E3" s="381"/>
      <c r="F3" s="381"/>
      <c r="G3" s="381"/>
      <c r="H3" s="381"/>
      <c r="I3" s="381"/>
      <c r="J3" s="381"/>
      <c r="K3" s="381"/>
      <c r="N3" s="3440" t="s">
        <v>1706</v>
      </c>
      <c r="O3" s="3440"/>
      <c r="AA3" s="1633">
        <v>3</v>
      </c>
    </row>
    <row r="4" spans="1:27" ht="13.5" customHeight="1">
      <c r="A4" s="10" t="s">
        <v>85</v>
      </c>
      <c r="C4" s="3581" t="str">
        <f>'Part I-Project Identification'!$A$6</f>
        <v>2024 May 7</v>
      </c>
      <c r="D4" s="931" t="s">
        <v>75</v>
      </c>
      <c r="E4" s="180"/>
      <c r="F4" s="932" t="s">
        <v>3313</v>
      </c>
      <c r="N4" s="10" t="str">
        <f>A4</f>
        <v>I.  OPERATING ASSUMPTIONS</v>
      </c>
      <c r="O4" s="10"/>
      <c r="AA4" s="1633">
        <v>4</v>
      </c>
    </row>
    <row r="5" spans="1:27" ht="2.65" customHeight="1">
      <c r="C5" s="3582"/>
      <c r="AA5" s="1633">
        <v>5</v>
      </c>
    </row>
    <row r="6" spans="1:27" ht="13.5" customHeight="1">
      <c r="A6" s="6" t="s">
        <v>2026</v>
      </c>
      <c r="B6" s="58">
        <f>'DCA Underwriting Assumptions'!$Q$114</f>
        <v>0.02</v>
      </c>
      <c r="C6" s="3582"/>
      <c r="D6" s="3506" t="s">
        <v>3314</v>
      </c>
      <c r="E6" s="3506"/>
      <c r="F6" s="3506"/>
      <c r="G6" s="59">
        <v>7500</v>
      </c>
      <c r="H6" s="75" t="s">
        <v>1763</v>
      </c>
      <c r="K6" s="80">
        <f>IF(($B$15+$B$16+$B$17+$B$18)=0,"",B31/($B$15+$B$16+$B$17+$B$18))</f>
        <v>-8.4233356186943532E-3</v>
      </c>
      <c r="N6" s="3508"/>
      <c r="O6" s="3510"/>
      <c r="AA6" s="1633">
        <v>6</v>
      </c>
    </row>
    <row r="7" spans="1:27">
      <c r="A7" s="6" t="s">
        <v>2027</v>
      </c>
      <c r="B7" s="58">
        <f>'DCA Underwriting Assumptions'!$Q$117</f>
        <v>0.03</v>
      </c>
      <c r="C7" s="3582"/>
      <c r="D7" s="3506"/>
      <c r="E7" s="3506"/>
      <c r="F7" s="3506"/>
      <c r="G7" s="933">
        <f>IF(OR('Part II-Sources of Funds'!E6="Yes",'Part II-Sources of Funds'!I6&gt;0),'DCA Underwriting Assumptions'!$Q$79,0)</f>
        <v>0</v>
      </c>
      <c r="N7" s="3488"/>
      <c r="O7" s="3490"/>
      <c r="AA7" s="1633">
        <v>7</v>
      </c>
    </row>
    <row r="8" spans="1:27">
      <c r="A8" s="6" t="s">
        <v>2029</v>
      </c>
      <c r="B8" s="58">
        <f>'DCA Underwriting Assumptions'!$Q$118</f>
        <v>0.03</v>
      </c>
      <c r="C8" s="3582"/>
      <c r="D8" s="1" t="s">
        <v>258</v>
      </c>
      <c r="G8" s="61"/>
      <c r="H8" s="75" t="s">
        <v>2185</v>
      </c>
      <c r="K8" s="80">
        <f>IF(($B$15+$B$16+$B$17+$B$18)=0,"",-B22/($B$15+$B$16+$B$17+$B$18))</f>
        <v>5.999998116766779E-2</v>
      </c>
      <c r="N8" s="3488"/>
      <c r="O8" s="3490"/>
      <c r="AA8" s="1633">
        <v>8</v>
      </c>
    </row>
    <row r="9" spans="1:27" ht="13.35" customHeight="1">
      <c r="A9" s="6" t="s">
        <v>2028</v>
      </c>
      <c r="B9" s="186">
        <v>7.0000000000000007E-2</v>
      </c>
      <c r="C9" s="1154" t="str">
        <f>IF(B9&lt;0.07, "Must be &gt;= 7%!","")</f>
        <v/>
      </c>
      <c r="D9" s="1" t="s">
        <v>2301</v>
      </c>
      <c r="G9" s="1169"/>
      <c r="H9" s="140" t="s">
        <v>1353</v>
      </c>
      <c r="K9" s="1171"/>
      <c r="N9" s="3488"/>
      <c r="O9" s="3490"/>
      <c r="AA9" s="1633">
        <v>9</v>
      </c>
    </row>
    <row r="10" spans="1:27">
      <c r="A10" s="6" t="s">
        <v>1334</v>
      </c>
      <c r="B10" s="58">
        <v>0.02</v>
      </c>
      <c r="D10" s="1" t="s">
        <v>1595</v>
      </c>
      <c r="G10" s="1170" t="s">
        <v>2641</v>
      </c>
      <c r="H10" s="140" t="s">
        <v>2168</v>
      </c>
      <c r="K10" s="1172">
        <v>0.06</v>
      </c>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5" t="s">
        <v>2404</v>
      </c>
      <c r="O14" s="3155"/>
      <c r="AA14" s="1633">
        <v>14</v>
      </c>
    </row>
    <row r="15" spans="1:27" ht="13.35" customHeight="1">
      <c r="A15" s="14" t="s">
        <v>2209</v>
      </c>
      <c r="B15" s="15">
        <f>'Part V-Revenues &amp; Expenses'!$M$50</f>
        <v>919248</v>
      </c>
      <c r="C15" s="15">
        <f t="shared" ref="C15:K15" si="1">$B$15*(1+$B$6)^(C14-1)</f>
        <v>937632.96</v>
      </c>
      <c r="D15" s="15">
        <f t="shared" si="1"/>
        <v>956385.61919999996</v>
      </c>
      <c r="E15" s="15">
        <f t="shared" si="1"/>
        <v>975513.33158399991</v>
      </c>
      <c r="F15" s="15">
        <f t="shared" si="1"/>
        <v>995023.59821567999</v>
      </c>
      <c r="G15" s="15">
        <f t="shared" si="1"/>
        <v>1014924.0701799936</v>
      </c>
      <c r="H15" s="15">
        <f t="shared" si="1"/>
        <v>1035222.5515835935</v>
      </c>
      <c r="I15" s="15">
        <f t="shared" si="1"/>
        <v>1055927.0026152651</v>
      </c>
      <c r="J15" s="15">
        <f t="shared" si="1"/>
        <v>1077045.5426675705</v>
      </c>
      <c r="K15" s="16">
        <f t="shared" si="1"/>
        <v>1098586.453520922</v>
      </c>
      <c r="N15" s="3508"/>
      <c r="O15" s="3510"/>
      <c r="S15" s="3573" t="s">
        <v>3319</v>
      </c>
      <c r="Z15" s="1631" t="s">
        <v>4356</v>
      </c>
      <c r="AA15" s="1633">
        <v>15</v>
      </c>
    </row>
    <row r="16" spans="1:27" ht="13.35" customHeight="1">
      <c r="A16" s="17" t="s">
        <v>951</v>
      </c>
      <c r="B16" s="18">
        <f>MIN(B15*B10,'Part V-Revenues &amp; Expenses'!$H$183)</f>
        <v>18384.96</v>
      </c>
      <c r="C16" s="18">
        <f t="shared" ref="C16:K16" si="2">$B$16*(1+$B$6)^(C14-1)</f>
        <v>18752.659199999998</v>
      </c>
      <c r="D16" s="18">
        <f t="shared" si="2"/>
        <v>19127.712383999999</v>
      </c>
      <c r="E16" s="18">
        <f t="shared" si="2"/>
        <v>19510.266631679999</v>
      </c>
      <c r="F16" s="18">
        <f t="shared" si="2"/>
        <v>19900.471964313598</v>
      </c>
      <c r="G16" s="18">
        <f t="shared" si="2"/>
        <v>20298.481403599872</v>
      </c>
      <c r="H16" s="18">
        <f t="shared" si="2"/>
        <v>20704.45103167187</v>
      </c>
      <c r="I16" s="18">
        <f t="shared" si="2"/>
        <v>21118.540052305303</v>
      </c>
      <c r="J16" s="18">
        <f t="shared" si="2"/>
        <v>21540.910853351412</v>
      </c>
      <c r="K16" s="19">
        <f t="shared" si="2"/>
        <v>21971.729070418438</v>
      </c>
      <c r="N16" s="3488"/>
      <c r="O16" s="3490"/>
      <c r="S16" s="3574"/>
      <c r="Z16" s="1631" t="s">
        <v>4356</v>
      </c>
      <c r="AA16" s="1633">
        <v>16</v>
      </c>
    </row>
    <row r="17" spans="1:27" ht="13.35" customHeight="1">
      <c r="A17" s="17" t="s">
        <v>2210</v>
      </c>
      <c r="B17" s="18">
        <f t="shared" ref="B17:K17" si="3">-(B15+B16)*$B$9</f>
        <v>-65634.30720000001</v>
      </c>
      <c r="C17" s="18">
        <f t="shared" si="3"/>
        <v>-66946.993344000002</v>
      </c>
      <c r="D17" s="18">
        <f t="shared" si="3"/>
        <v>-68285.933210880001</v>
      </c>
      <c r="E17" s="18">
        <f t="shared" si="3"/>
        <v>-69651.651875097596</v>
      </c>
      <c r="F17" s="18">
        <f t="shared" si="3"/>
        <v>-71044.684912599565</v>
      </c>
      <c r="G17" s="18">
        <f t="shared" si="3"/>
        <v>-72465.578610851546</v>
      </c>
      <c r="H17" s="18">
        <f t="shared" si="3"/>
        <v>-73914.890183068579</v>
      </c>
      <c r="I17" s="18">
        <f t="shared" si="3"/>
        <v>-75393.187986729929</v>
      </c>
      <c r="J17" s="18">
        <f t="shared" si="3"/>
        <v>-76901.051746464553</v>
      </c>
      <c r="K17" s="19">
        <f t="shared" si="3"/>
        <v>-78439.072781393843</v>
      </c>
      <c r="N17" s="3488"/>
      <c r="O17" s="3490"/>
      <c r="Q17" s="3576" t="s">
        <v>3213</v>
      </c>
      <c r="R17" s="3576" t="s">
        <v>3318</v>
      </c>
      <c r="S17" s="3574"/>
      <c r="Z17" s="1631" t="s">
        <v>4356</v>
      </c>
      <c r="AA17" s="1633">
        <v>17</v>
      </c>
    </row>
    <row r="18" spans="1:27" ht="13.35" customHeight="1">
      <c r="A18" s="17" t="s">
        <v>47</v>
      </c>
      <c r="B18" s="18">
        <f>+'Part V-Revenues &amp; Expenses'!H189</f>
        <v>18384.96</v>
      </c>
      <c r="C18" s="18">
        <f>+'Part V-Revenues &amp; Expenses'!I189</f>
        <v>18752.659199999998</v>
      </c>
      <c r="D18" s="18">
        <f>+'Part V-Revenues &amp; Expenses'!J189</f>
        <v>19127.712383999999</v>
      </c>
      <c r="E18" s="18">
        <f>+'Part V-Revenues &amp; Expenses'!K189</f>
        <v>19510.266631679999</v>
      </c>
      <c r="F18" s="18">
        <f>+'Part V-Revenues &amp; Expenses'!L189</f>
        <v>19900.471964313598</v>
      </c>
      <c r="G18" s="18">
        <f>+'Part V-Revenues &amp; Expenses'!M189</f>
        <v>20298.481403599872</v>
      </c>
      <c r="H18" s="18">
        <f>+'Part V-Revenues &amp; Expenses'!N189</f>
        <v>20704.45103167187</v>
      </c>
      <c r="I18" s="18">
        <f>+'Part V-Revenues &amp; Expenses'!O189</f>
        <v>21118.540052305307</v>
      </c>
      <c r="J18" s="18">
        <f>+'Part V-Revenues &amp; Expenses'!P189</f>
        <v>21540.910853351412</v>
      </c>
      <c r="K18" s="19">
        <f>+'Part V-Revenues &amp; Expenses'!Q189</f>
        <v>21971.729070418442</v>
      </c>
      <c r="N18" s="3488"/>
      <c r="O18" s="3490"/>
      <c r="Q18" s="3576"/>
      <c r="R18" s="3576"/>
      <c r="S18" s="3575"/>
      <c r="Z18" s="1631" t="s">
        <v>4356</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8"/>
      <c r="O19" s="3490"/>
      <c r="Z19" s="1631" t="s">
        <v>4356</v>
      </c>
      <c r="AA19" s="1633">
        <v>19</v>
      </c>
    </row>
    <row r="20" spans="1:27" ht="13.35" customHeight="1">
      <c r="A20" s="340" t="s">
        <v>3712</v>
      </c>
      <c r="B20" s="18">
        <f>SUM(B15:B19)</f>
        <v>890383.61279999989</v>
      </c>
      <c r="C20" s="18">
        <f t="shared" ref="C20:K20" si="4">SUM(C15:C19)</f>
        <v>908191.28505599999</v>
      </c>
      <c r="D20" s="18">
        <f t="shared" si="4"/>
        <v>926355.11075711984</v>
      </c>
      <c r="E20" s="18">
        <f t="shared" si="4"/>
        <v>944882.21297226229</v>
      </c>
      <c r="F20" s="18">
        <f t="shared" si="4"/>
        <v>963779.85723170778</v>
      </c>
      <c r="G20" s="18">
        <f t="shared" si="4"/>
        <v>983055.45437634178</v>
      </c>
      <c r="H20" s="18">
        <f t="shared" si="4"/>
        <v>1002716.5634638686</v>
      </c>
      <c r="I20" s="18">
        <f t="shared" si="4"/>
        <v>1022770.8947331457</v>
      </c>
      <c r="J20" s="18">
        <f t="shared" si="4"/>
        <v>1043226.3126278089</v>
      </c>
      <c r="K20" s="19">
        <f t="shared" si="4"/>
        <v>1064090.838880365</v>
      </c>
      <c r="N20" s="3488"/>
      <c r="O20" s="3490"/>
      <c r="Z20" s="1631" t="s">
        <v>4356</v>
      </c>
      <c r="AA20" s="1633">
        <v>20</v>
      </c>
    </row>
    <row r="21" spans="1:27" ht="13.35" customHeight="1">
      <c r="A21" s="17" t="s">
        <v>571</v>
      </c>
      <c r="B21" s="18">
        <f>-('Part V-Revenues &amp; Expenses'!$Q$232-'Part V-Revenues &amp; Expenses'!$Q$224)</f>
        <v>-444581</v>
      </c>
      <c r="C21" s="18">
        <f t="shared" ref="C21:K21" si="5">$B$21*(1+$B$7)^(C14-1)</f>
        <v>-457918.43</v>
      </c>
      <c r="D21" s="18">
        <f t="shared" si="5"/>
        <v>-471655.9829</v>
      </c>
      <c r="E21" s="18">
        <f t="shared" si="5"/>
        <v>-485805.66238699999</v>
      </c>
      <c r="F21" s="18">
        <f t="shared" si="5"/>
        <v>-500379.83225860994</v>
      </c>
      <c r="G21" s="18">
        <f t="shared" si="5"/>
        <v>-515391.22722636821</v>
      </c>
      <c r="H21" s="18">
        <f t="shared" si="5"/>
        <v>-530852.96404315927</v>
      </c>
      <c r="I21" s="18">
        <f t="shared" si="5"/>
        <v>-546778.55296445417</v>
      </c>
      <c r="J21" s="18">
        <f t="shared" si="5"/>
        <v>-563181.90955338767</v>
      </c>
      <c r="K21" s="19">
        <f t="shared" si="5"/>
        <v>-580077.36683998932</v>
      </c>
      <c r="N21" s="3488"/>
      <c r="O21" s="3490"/>
      <c r="Q21" s="47">
        <v>1</v>
      </c>
      <c r="R21" s="856">
        <f>-B32</f>
        <v>0</v>
      </c>
      <c r="S21" s="856">
        <f>B33+R21</f>
        <v>39225.713347802404</v>
      </c>
      <c r="Z21" s="1631" t="s">
        <v>4356</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-53423</v>
      </c>
      <c r="C22" s="18">
        <f>IF(AND('Part VI-Pro Forma'!$G$9="Yes",'Part VI-Pro Forma'!$G$10="Yes"),"Choose One!",IF('Part VI-Pro Forma'!$G$9="Yes",ROUND((-$K$9*(1+'Part VI-Pro Forma'!$B$7)^('Part VI-Pro Forma'!C14-1)),),IF('Part VI-Pro Forma'!$G$10="Yes",ROUND((-(SUM(C15:C18)*'Part VI-Pro Forma'!$K$10)),),"Choose mgt fee")))</f>
        <v>-54491</v>
      </c>
      <c r="D22" s="18">
        <f>IF(AND('Part VI-Pro Forma'!$G$9="Yes",'Part VI-Pro Forma'!$G$10="Yes"),"Choose One!",IF('Part VI-Pro Forma'!$G$9="Yes",ROUND((-$K$9*(1+'Part VI-Pro Forma'!$B$7)^('Part VI-Pro Forma'!D14-1)),),IF('Part VI-Pro Forma'!$G$10="Yes",ROUND((-(SUM(D15:D18)*'Part VI-Pro Forma'!$K$10)),),"Choose mgt fee")))</f>
        <v>-55581</v>
      </c>
      <c r="E22" s="18">
        <f>IF(AND('Part VI-Pro Forma'!$G$9="Yes",'Part VI-Pro Forma'!$G$10="Yes"),"Choose One!",IF('Part VI-Pro Forma'!$G$9="Yes",ROUND((-$K$9*(1+'Part VI-Pro Forma'!$B$7)^('Part VI-Pro Forma'!E14-1)),),IF('Part VI-Pro Forma'!$G$10="Yes",ROUND((-(SUM(E15:E18)*'Part VI-Pro Forma'!$K$10)),),"Choose mgt fee")))</f>
        <v>-56693</v>
      </c>
      <c r="F22" s="18">
        <f>IF(AND('Part VI-Pro Forma'!$G$9="Yes",'Part VI-Pro Forma'!$G$10="Yes"),"Choose One!",IF('Part VI-Pro Forma'!$G$9="Yes",ROUND((-$K$9*(1+'Part VI-Pro Forma'!$B$7)^('Part VI-Pro Forma'!F14-1)),),IF('Part VI-Pro Forma'!$G$10="Yes",ROUND((-(SUM(F15:F18)*'Part VI-Pro Forma'!$K$10)),),"Choose mgt fee")))</f>
        <v>-57827</v>
      </c>
      <c r="G22" s="18">
        <f>IF(AND('Part VI-Pro Forma'!$G$9="Yes",'Part VI-Pro Forma'!$G$10="Yes"),"Choose One!",IF('Part VI-Pro Forma'!$G$9="Yes",ROUND((-$K$9*(1+'Part VI-Pro Forma'!$B$7)^('Part VI-Pro Forma'!G14-1)),),IF('Part VI-Pro Forma'!$G$10="Yes",ROUND((-(SUM(G15:G18)*'Part VI-Pro Forma'!$K$10)),),"Choose mgt fee")))</f>
        <v>-58983</v>
      </c>
      <c r="H22" s="18">
        <f>IF(AND('Part VI-Pro Forma'!$G$9="Yes",'Part VI-Pro Forma'!$G$10="Yes"),"Choose One!",IF('Part VI-Pro Forma'!$G$9="Yes",ROUND((-$K$9*(1+'Part VI-Pro Forma'!$B$7)^('Part VI-Pro Forma'!H14-1)),),IF('Part VI-Pro Forma'!$G$10="Yes",ROUND((-(SUM(H15:H18)*'Part VI-Pro Forma'!$K$10)),),"Choose mgt fee")))</f>
        <v>-60163</v>
      </c>
      <c r="I22" s="18">
        <f>IF(AND('Part VI-Pro Forma'!$G$9="Yes",'Part VI-Pro Forma'!$G$10="Yes"),"Choose One!",IF('Part VI-Pro Forma'!$G$9="Yes",ROUND((-$K$9*(1+'Part VI-Pro Forma'!$B$7)^('Part VI-Pro Forma'!I14-1)),),IF('Part VI-Pro Forma'!$G$10="Yes",ROUND((-(SUM(I15:I18)*'Part VI-Pro Forma'!$K$10)),),"Choose mgt fee")))</f>
        <v>-61366</v>
      </c>
      <c r="J22" s="18">
        <f>IF(AND('Part VI-Pro Forma'!$G$9="Yes",'Part VI-Pro Forma'!$G$10="Yes"),"Choose One!",IF('Part VI-Pro Forma'!$G$9="Yes",ROUND((-$K$9*(1+'Part VI-Pro Forma'!$B$7)^('Part VI-Pro Forma'!J14-1)),),IF('Part VI-Pro Forma'!$G$10="Yes",ROUND((-(SUM(J15:J18)*'Part VI-Pro Forma'!$K$10)),),"Choose mgt fee")))</f>
        <v>-62594</v>
      </c>
      <c r="K22" s="19">
        <f>IF(AND('Part VI-Pro Forma'!$G$9="Yes",'Part VI-Pro Forma'!$G$10="Yes"),"Choose One!",IF('Part VI-Pro Forma'!$G$9="Yes",ROUND((-$K$9*(1+'Part VI-Pro Forma'!$B$7)^('Part VI-Pro Forma'!K14-1)),),IF('Part VI-Pro Forma'!$G$10="Yes",ROUND((-(SUM(K15:K18)*'Part VI-Pro Forma'!$K$10)),),"Choose mgt fee")))</f>
        <v>-63845</v>
      </c>
      <c r="N22" s="3488"/>
      <c r="O22" s="3490"/>
      <c r="Q22" s="47">
        <v>2</v>
      </c>
      <c r="R22" s="856">
        <f>-SUM(B32:C32)</f>
        <v>0</v>
      </c>
      <c r="S22" s="856">
        <f>SUM(B33:C33)+R22</f>
        <v>80348.358387604894</v>
      </c>
      <c r="Z22" s="1631" t="s">
        <v>4356</v>
      </c>
      <c r="AA22" s="1633">
        <v>22</v>
      </c>
    </row>
    <row r="23" spans="1:27" ht="13.35" customHeight="1">
      <c r="A23" s="17" t="s">
        <v>1127</v>
      </c>
      <c r="B23" s="18">
        <f>-('Part V-Revenues &amp; Expenses'!$Q$238)</f>
        <v>-21600</v>
      </c>
      <c r="C23" s="18">
        <f t="shared" ref="C23:K23" si="6">$B$23*(1+$B$8)^(C14-1)</f>
        <v>-22248</v>
      </c>
      <c r="D23" s="18">
        <f t="shared" si="6"/>
        <v>-22915.439999999999</v>
      </c>
      <c r="E23" s="18">
        <f t="shared" si="6"/>
        <v>-23602.903200000001</v>
      </c>
      <c r="F23" s="18">
        <f t="shared" si="6"/>
        <v>-24310.990296</v>
      </c>
      <c r="G23" s="18">
        <f t="shared" si="6"/>
        <v>-25040.320004879995</v>
      </c>
      <c r="H23" s="18">
        <f t="shared" si="6"/>
        <v>-25791.529605026397</v>
      </c>
      <c r="I23" s="18">
        <f t="shared" si="6"/>
        <v>-26565.275493177192</v>
      </c>
      <c r="J23" s="18">
        <f t="shared" si="6"/>
        <v>-27362.233757972503</v>
      </c>
      <c r="K23" s="19">
        <f t="shared" si="6"/>
        <v>-28183.100770711681</v>
      </c>
      <c r="N23" s="3488"/>
      <c r="O23" s="3490"/>
      <c r="Q23" s="47">
        <v>3</v>
      </c>
      <c r="R23" s="856">
        <f>-SUM(B32:D32)</f>
        <v>0</v>
      </c>
      <c r="S23" s="856">
        <f>SUM(B33:D33)+R23</f>
        <v>123298.81552824726</v>
      </c>
      <c r="Z23" s="1631" t="s">
        <v>4356</v>
      </c>
      <c r="AA23" s="1633">
        <v>23</v>
      </c>
    </row>
    <row r="24" spans="1:27" ht="13.35" customHeight="1">
      <c r="A24" s="340" t="s">
        <v>3711</v>
      </c>
      <c r="B24" s="1223">
        <f>IF(B14&lt;=+'Part V-Revenues &amp; Expenses'!$N$255,-'Part V-Revenues &amp; Expenses'!$K$255,0)</f>
        <v>-10000</v>
      </c>
      <c r="C24" s="1223">
        <f>IF(C14&lt;=+'Part V-Revenues &amp; Expenses'!$N$255,-'Part V-Revenues &amp; Expenses'!$K$255,0)</f>
        <v>-10000</v>
      </c>
      <c r="D24" s="1223">
        <f>IF(D14&lt;=+'Part V-Revenues &amp; Expenses'!$N$255,-'Part V-Revenues &amp; Expenses'!$K$255,0)</f>
        <v>-10000</v>
      </c>
      <c r="E24" s="1223">
        <f>IF(E14&lt;=+'Part V-Revenues &amp; Expenses'!$N$255,-'Part V-Revenues &amp; Expenses'!$K$255,0)</f>
        <v>-10000</v>
      </c>
      <c r="F24" s="1223">
        <f>IF(F14&lt;=+'Part V-Revenues &amp; Expenses'!$N$255,-'Part V-Revenues &amp; Expenses'!$K$255,0)</f>
        <v>-10000</v>
      </c>
      <c r="G24" s="1223">
        <f>IF(G14&lt;=+'Part V-Revenues &amp; Expenses'!$N$255,-'Part V-Revenues &amp; Expenses'!$K$255,0)</f>
        <v>-10000</v>
      </c>
      <c r="H24" s="1223">
        <f>IF(H14&lt;=+'Part V-Revenues &amp; Expenses'!$N$255,-'Part V-Revenues &amp; Expenses'!$K$255,0)</f>
        <v>-10000</v>
      </c>
      <c r="I24" s="1223">
        <f>IF(I14&lt;=+'Part V-Revenues &amp; Expenses'!$N$255,-'Part V-Revenues &amp; Expenses'!$K$255,0)</f>
        <v>-10000</v>
      </c>
      <c r="J24" s="1223">
        <f>IF(J14&lt;=+'Part V-Revenues &amp; Expenses'!$N$255,-'Part V-Revenues &amp; Expenses'!$K$255,0)</f>
        <v>-10000</v>
      </c>
      <c r="K24" s="1223">
        <f>IF(K14&lt;=+'Part V-Revenues &amp; Expenses'!$N$255,-'Part V-Revenues &amp; Expenses'!$K$255,0)</f>
        <v>-10000</v>
      </c>
      <c r="N24" s="3488"/>
      <c r="O24" s="3490"/>
      <c r="Q24" s="92">
        <v>4</v>
      </c>
      <c r="R24" s="856">
        <f>-SUM(B32:E32)</f>
        <v>0</v>
      </c>
      <c r="S24" s="856">
        <f>SUM(B33:E33)+R24</f>
        <v>168003.71543999648</v>
      </c>
      <c r="Z24" s="1631" t="s">
        <v>4356</v>
      </c>
      <c r="AA24" s="1633">
        <v>24</v>
      </c>
    </row>
    <row r="25" spans="1:27" ht="13.35" customHeight="1">
      <c r="A25" s="17" t="s">
        <v>1128</v>
      </c>
      <c r="B25" s="18">
        <f>SUM(B20:B24)</f>
        <v>360779.61279999989</v>
      </c>
      <c r="C25" s="18">
        <f t="shared" ref="C25:J25" si="7">SUM(C20:C24)</f>
        <v>363533.855056</v>
      </c>
      <c r="D25" s="18">
        <f t="shared" si="7"/>
        <v>366202.68785711983</v>
      </c>
      <c r="E25" s="18">
        <f t="shared" si="7"/>
        <v>368780.6473852623</v>
      </c>
      <c r="F25" s="18">
        <f t="shared" si="7"/>
        <v>371262.03467709786</v>
      </c>
      <c r="G25" s="18">
        <f t="shared" si="7"/>
        <v>373640.90714509354</v>
      </c>
      <c r="H25" s="18">
        <f t="shared" si="7"/>
        <v>375909.06981568289</v>
      </c>
      <c r="I25" s="18">
        <f t="shared" si="7"/>
        <v>378061.06627551437</v>
      </c>
      <c r="J25" s="18">
        <f t="shared" si="7"/>
        <v>380088.16931644874</v>
      </c>
      <c r="K25" s="1156">
        <f>SUM(K20:K24)</f>
        <v>381985.37126966403</v>
      </c>
      <c r="N25" s="3488"/>
      <c r="O25" s="3490"/>
      <c r="Q25" s="92">
        <v>5</v>
      </c>
      <c r="R25" s="856">
        <f>-SUM(B32:F32)</f>
        <v>0</v>
      </c>
      <c r="S25" s="856">
        <f>SUM(B33:F33)+R25</f>
        <v>214385.25813937237</v>
      </c>
      <c r="Z25" s="1631" t="s">
        <v>4356</v>
      </c>
      <c r="AA25" s="1633">
        <v>25</v>
      </c>
    </row>
    <row r="26" spans="1:27" ht="13.35" customHeight="1">
      <c r="A26" s="340" t="s">
        <v>1484</v>
      </c>
      <c r="B26" s="341">
        <f>IF('Part II-Sources of Funds'!$P$40="", 0,-'Part II-Sources of Funds'!$P$40)</f>
        <v>-300978.66166959668</v>
      </c>
      <c r="C26" s="341">
        <f>IF('Part II-Sources of Funds'!$P$40="", 0,-'Part II-Sources of Funds'!$P$40)</f>
        <v>-300978.66166959668</v>
      </c>
      <c r="D26" s="341">
        <f>IF('Part II-Sources of Funds'!$P$40="", 0,-'Part II-Sources of Funds'!$P$40)</f>
        <v>-300978.66166959668</v>
      </c>
      <c r="E26" s="341">
        <f>IF('Part II-Sources of Funds'!$P$40="", 0,-'Part II-Sources of Funds'!$P$40)</f>
        <v>-300978.66166959668</v>
      </c>
      <c r="F26" s="341">
        <f>IF('Part II-Sources of Funds'!$P$40="", 0,-'Part II-Sources of Funds'!$P$40)</f>
        <v>-300978.66166959668</v>
      </c>
      <c r="G26" s="341">
        <f>IF('Part II-Sources of Funds'!$P$40="", 0,-'Part II-Sources of Funds'!$P$40)</f>
        <v>-300978.66166959668</v>
      </c>
      <c r="H26" s="341">
        <f>IF('Part II-Sources of Funds'!$P$40="", 0,-'Part II-Sources of Funds'!$P$40)</f>
        <v>-300978.66166959668</v>
      </c>
      <c r="I26" s="341">
        <f>IF('Part II-Sources of Funds'!$P$40="", 0,-'Part II-Sources of Funds'!$P$40)</f>
        <v>-300978.66166959668</v>
      </c>
      <c r="J26" s="341">
        <f>IF('Part II-Sources of Funds'!$P$40="", 0,-'Part II-Sources of Funds'!$P$40)</f>
        <v>-300978.66166959668</v>
      </c>
      <c r="K26" s="341">
        <f>IF('Part II-Sources of Funds'!$P$40="", 0,-'Part II-Sources of Funds'!$P$40)</f>
        <v>-300978.66166959668</v>
      </c>
      <c r="N26" s="3488"/>
      <c r="O26" s="3490"/>
      <c r="Q26" s="92">
        <v>6</v>
      </c>
      <c r="R26" s="856">
        <f>-SUM(B32:G32)</f>
        <v>0</v>
      </c>
      <c r="S26" s="856">
        <f>SUM(B33:G33)+R26</f>
        <v>262361.02557805751</v>
      </c>
      <c r="Z26" s="1631" t="s">
        <v>4356</v>
      </c>
      <c r="AA26" s="1633">
        <v>26</v>
      </c>
    </row>
    <row r="27" spans="1:27" ht="13.35" customHeight="1">
      <c r="A27" s="340" t="s">
        <v>1485</v>
      </c>
      <c r="B27" s="178">
        <v>-13075.237782600801</v>
      </c>
      <c r="C27" s="178">
        <v>-13707.54834660083</v>
      </c>
      <c r="D27" s="178">
        <v>-14316.819046880788</v>
      </c>
      <c r="E27" s="178">
        <v>-14901.633303916402</v>
      </c>
      <c r="F27" s="178">
        <v>-15460.514233125301</v>
      </c>
      <c r="G27" s="178">
        <v>-15991.922479561719</v>
      </c>
      <c r="H27" s="178">
        <v>-16493.753980529684</v>
      </c>
      <c r="I27" s="178">
        <v>-16964.587653807786</v>
      </c>
      <c r="J27" s="178">
        <v>-17402.183009111235</v>
      </c>
      <c r="K27" s="178">
        <v>-17805.227680337004</v>
      </c>
      <c r="N27" s="3488"/>
      <c r="O27" s="3490"/>
      <c r="Q27" s="92">
        <v>7</v>
      </c>
      <c r="R27" s="856">
        <f>-SUM(B32:H32)</f>
        <v>0</v>
      </c>
      <c r="S27" s="856">
        <f>SUM(B33:H33)+R27</f>
        <v>311842.28751964652</v>
      </c>
      <c r="Z27" s="1631" t="s">
        <v>4356</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8"/>
      <c r="O28" s="3490"/>
      <c r="Q28" s="92">
        <v>8</v>
      </c>
      <c r="R28" s="856">
        <f>-SUM(B32:I32)</f>
        <v>0</v>
      </c>
      <c r="S28" s="856">
        <f>SUM(B33:I33)+R28</f>
        <v>362736.05048106989</v>
      </c>
      <c r="Z28" s="1631" t="s">
        <v>4356</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8"/>
      <c r="O29" s="3490"/>
      <c r="Q29" s="92">
        <v>9</v>
      </c>
      <c r="R29" s="856">
        <f>-SUM(B32:J32)</f>
        <v>0</v>
      </c>
      <c r="S29" s="856">
        <f>SUM(B33:J33)+R29</f>
        <v>414942.59950840357</v>
      </c>
      <c r="Z29" s="1631" t="s">
        <v>4356</v>
      </c>
      <c r="AA29" s="1633">
        <v>29</v>
      </c>
    </row>
    <row r="30" spans="1:27" ht="13.35" customHeight="1">
      <c r="A30" s="17" t="s">
        <v>710</v>
      </c>
      <c r="B30" s="138"/>
      <c r="C30" s="138"/>
      <c r="D30" s="138"/>
      <c r="E30" s="138"/>
      <c r="F30" s="138"/>
      <c r="G30" s="138"/>
      <c r="H30" s="138"/>
      <c r="I30" s="138"/>
      <c r="J30" s="138"/>
      <c r="K30" s="138"/>
      <c r="N30" s="3488"/>
      <c r="O30" s="3490"/>
      <c r="Q30" s="92">
        <v>10</v>
      </c>
      <c r="R30" s="856">
        <f>-SUM(B32:K32)</f>
        <v>0</v>
      </c>
      <c r="S30" s="856">
        <f>SUM(B33:K33)+R30</f>
        <v>468358.28254941455</v>
      </c>
      <c r="Z30" s="1631" t="s">
        <v>4356</v>
      </c>
      <c r="AA30" s="1633">
        <v>30</v>
      </c>
    </row>
    <row r="31" spans="1:27" ht="13.35" customHeight="1">
      <c r="A31" s="340" t="s">
        <v>1094</v>
      </c>
      <c r="B31" s="894">
        <f>-$G$6</f>
        <v>-7500</v>
      </c>
      <c r="C31" s="894">
        <f>B31*1.03</f>
        <v>-7725</v>
      </c>
      <c r="D31" s="894">
        <f t="shared" ref="D31:K31" si="8">C31*1.03</f>
        <v>-7956.75</v>
      </c>
      <c r="E31" s="894">
        <f t="shared" si="8"/>
        <v>-8195.4524999999994</v>
      </c>
      <c r="F31" s="894">
        <f t="shared" si="8"/>
        <v>-8441.3160749999988</v>
      </c>
      <c r="G31" s="894">
        <f t="shared" si="8"/>
        <v>-8694.5555572499998</v>
      </c>
      <c r="H31" s="894">
        <f t="shared" si="8"/>
        <v>-8955.3922239674994</v>
      </c>
      <c r="I31" s="894">
        <f t="shared" si="8"/>
        <v>-9224.0539906865251</v>
      </c>
      <c r="J31" s="894">
        <f t="shared" si="8"/>
        <v>-9500.7756104071213</v>
      </c>
      <c r="K31" s="894">
        <f t="shared" si="8"/>
        <v>-9785.7988787193353</v>
      </c>
      <c r="N31" s="3488"/>
      <c r="O31" s="3490"/>
      <c r="Q31" s="92">
        <v>11</v>
      </c>
      <c r="R31" s="856">
        <f>-SUM(B32:K32)-B64</f>
        <v>0</v>
      </c>
      <c r="S31" s="856">
        <f>SUM(B33:K33)+B65+R31</f>
        <v>522871.53717761918</v>
      </c>
      <c r="Z31" s="1631" t="s">
        <v>4356</v>
      </c>
      <c r="AA31" s="1633">
        <v>31</v>
      </c>
    </row>
    <row r="32" spans="1:27" ht="13.35" customHeight="1">
      <c r="A32" s="340" t="s">
        <v>3272</v>
      </c>
      <c r="B32" s="179"/>
      <c r="C32" s="179"/>
      <c r="D32" s="179"/>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8"/>
      <c r="O32" s="3490"/>
      <c r="Q32" s="92">
        <v>12</v>
      </c>
      <c r="R32" s="856">
        <f>-SUM(B32:K32) - SUM(B64:C64)</f>
        <v>0</v>
      </c>
      <c r="S32" s="856">
        <f>SUM(B33:K33) + SUM(B65:C65)+R32</f>
        <v>578364.90941480082</v>
      </c>
      <c r="Z32" s="1631" t="s">
        <v>4356</v>
      </c>
      <c r="AA32" s="1633">
        <v>32</v>
      </c>
    </row>
    <row r="33" spans="1:27" ht="13.35" customHeight="1">
      <c r="A33" s="17" t="s">
        <v>1095</v>
      </c>
      <c r="B33" s="18">
        <f t="shared" ref="B33:K33" si="9">SUM(B25:B32)</f>
        <v>39225.713347802404</v>
      </c>
      <c r="C33" s="18">
        <f t="shared" si="9"/>
        <v>41122.64503980249</v>
      </c>
      <c r="D33" s="18">
        <f t="shared" si="9"/>
        <v>42950.457140642364</v>
      </c>
      <c r="E33" s="18">
        <f t="shared" si="9"/>
        <v>44704.89991174922</v>
      </c>
      <c r="F33" s="18">
        <f t="shared" si="9"/>
        <v>46381.542699375888</v>
      </c>
      <c r="G33" s="18">
        <f t="shared" si="9"/>
        <v>47975.767438685143</v>
      </c>
      <c r="H33" s="18">
        <f t="shared" si="9"/>
        <v>49481.261941589022</v>
      </c>
      <c r="I33" s="18">
        <f t="shared" si="9"/>
        <v>50893.762961423381</v>
      </c>
      <c r="J33" s="18">
        <f t="shared" si="9"/>
        <v>52206.549027333698</v>
      </c>
      <c r="K33" s="19">
        <f t="shared" si="9"/>
        <v>53415.683041011012</v>
      </c>
      <c r="N33" s="3488"/>
      <c r="O33" s="3490"/>
      <c r="Q33" s="92">
        <v>13</v>
      </c>
      <c r="R33" s="856">
        <f>-SUM(B32:K32) - SUM(B64:D64)</f>
        <v>0</v>
      </c>
      <c r="S33" s="856">
        <f>SUM(B33:K33) + SUM(B65:D65)+R33</f>
        <v>634715.56439088052</v>
      </c>
      <c r="Z33" s="1631" t="s">
        <v>4356</v>
      </c>
      <c r="AA33" s="1633">
        <v>33</v>
      </c>
    </row>
    <row r="34" spans="1:27" ht="13.35" customHeight="1">
      <c r="A34" s="17" t="str">
        <f>IF('Part II-Sources of Funds'!$E$40 = "Neither", "", "DCR Mortgage A")</f>
        <v>DCR Mortgage A</v>
      </c>
      <c r="B34" s="20">
        <f t="shared" ref="B34:K34" si="10">IF(B26=0,"",-B25/B26)</f>
        <v>1.1986883415544272</v>
      </c>
      <c r="C34" s="20">
        <f t="shared" si="10"/>
        <v>1.2078392967773712</v>
      </c>
      <c r="D34" s="20">
        <f t="shared" si="10"/>
        <v>1.2167064795414755</v>
      </c>
      <c r="E34" s="20">
        <f t="shared" si="10"/>
        <v>1.2252717363402199</v>
      </c>
      <c r="F34" s="20">
        <f t="shared" si="10"/>
        <v>1.2335161323983017</v>
      </c>
      <c r="G34" s="20">
        <f t="shared" si="10"/>
        <v>1.2414199235003005</v>
      </c>
      <c r="H34" s="20">
        <f t="shared" si="10"/>
        <v>1.2489558818901987</v>
      </c>
      <c r="I34" s="20">
        <f t="shared" si="10"/>
        <v>1.2561058786637038</v>
      </c>
      <c r="J34" s="20">
        <f t="shared" si="10"/>
        <v>1.2628409177182653</v>
      </c>
      <c r="K34" s="21">
        <f t="shared" si="10"/>
        <v>1.2691443611008995</v>
      </c>
      <c r="N34" s="3488"/>
      <c r="O34" s="3490"/>
      <c r="Q34" s="92">
        <v>14</v>
      </c>
      <c r="R34" s="856">
        <f>-SUM(B32:K32) - SUM(B64:E64)</f>
        <v>0</v>
      </c>
      <c r="S34" s="856">
        <f>SUM(B33:K33) + SUM(B65:E65)+R34</f>
        <v>691792.78857170953</v>
      </c>
      <c r="Z34" s="1631" t="s">
        <v>4356</v>
      </c>
      <c r="AA34" s="1633">
        <v>34</v>
      </c>
    </row>
    <row r="35" spans="1:27" ht="13.35" customHeight="1">
      <c r="A35" s="17" t="str">
        <f>IF('Part II-Sources of Funds'!$E$40 = "Neither", "", "DCR Mortgage B")</f>
        <v>DCR Mortgage B</v>
      </c>
      <c r="B35" s="20">
        <f t="shared" ref="B35:K35" si="11">IF(B27=0,"",-(B25+B26)/B27)</f>
        <v>4.5736033351515974</v>
      </c>
      <c r="C35" s="20">
        <f t="shared" si="11"/>
        <v>4.5635581071589382</v>
      </c>
      <c r="D35" s="20">
        <f t="shared" si="11"/>
        <v>4.5557624199862703</v>
      </c>
      <c r="E35" s="20">
        <f t="shared" si="11"/>
        <v>4.5499700826651068</v>
      </c>
      <c r="F35" s="20">
        <f t="shared" si="11"/>
        <v>4.5459919345317656</v>
      </c>
      <c r="G35" s="20">
        <f t="shared" si="11"/>
        <v>4.5436841985922554</v>
      </c>
      <c r="H35" s="20">
        <f t="shared" si="11"/>
        <v>4.5429565782622321</v>
      </c>
      <c r="I35" s="20">
        <f t="shared" si="11"/>
        <v>4.5437240314306226</v>
      </c>
      <c r="J35" s="20">
        <f t="shared" si="11"/>
        <v>4.5459530913697899</v>
      </c>
      <c r="K35" s="21">
        <f t="shared" si="11"/>
        <v>4.5496025692233166</v>
      </c>
      <c r="N35" s="3488"/>
      <c r="O35" s="3490"/>
      <c r="Q35" s="92">
        <v>15</v>
      </c>
      <c r="R35" s="856">
        <f>-SUM(B32:K32) - SUM(B64:F64)</f>
        <v>0</v>
      </c>
      <c r="S35" s="856">
        <f>SUM(B33:K33) + SUM(B65:F65)+R35</f>
        <v>749458.48327678838</v>
      </c>
      <c r="Z35" s="1631" t="s">
        <v>4356</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8"/>
      <c r="O36" s="3490"/>
      <c r="Q36" s="47">
        <v>16</v>
      </c>
      <c r="R36" s="856">
        <f>-SUM(B32:K32) - SUM(B64:G64)</f>
        <v>0</v>
      </c>
      <c r="S36" s="856">
        <f>SUM(B33:K33) + SUM(B65:G65)+R36</f>
        <v>803819.14920006902</v>
      </c>
      <c r="Z36" s="1631" t="s">
        <v>4356</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8"/>
      <c r="O37" s="3490"/>
      <c r="Q37" s="47">
        <v>17</v>
      </c>
      <c r="R37" s="856">
        <f>-SUM(B32:K32) - SUM(B64:H64)</f>
        <v>0</v>
      </c>
      <c r="S37" s="856">
        <f>SUM(B33:K33) + SUM(B65:H65)+R37</f>
        <v>858471.86163788801</v>
      </c>
      <c r="Z37" s="1631" t="s">
        <v>4356</v>
      </c>
      <c r="AA37" s="1633">
        <v>37</v>
      </c>
    </row>
    <row r="38" spans="1:27" ht="13.35" customHeight="1">
      <c r="A38" s="340" t="s">
        <v>3128</v>
      </c>
      <c r="B38" s="20">
        <f t="shared" ref="B38:K38" si="14">IF(AND(B26=0,B27=0,B28=0,B29=0),"",-B25/(B26+B27+B28+B29))</f>
        <v>1.1487824651415117</v>
      </c>
      <c r="C38" s="20">
        <f t="shared" si="14"/>
        <v>1.1552265192595768</v>
      </c>
      <c r="D38" s="20">
        <f t="shared" si="14"/>
        <v>1.1614587276194406</v>
      </c>
      <c r="E38" s="20">
        <f t="shared" si="14"/>
        <v>1.1674696182494857</v>
      </c>
      <c r="F38" s="20">
        <f t="shared" si="14"/>
        <v>1.1732492780578763</v>
      </c>
      <c r="G38" s="20">
        <f t="shared" si="14"/>
        <v>1.178787325480233</v>
      </c>
      <c r="H38" s="20">
        <f t="shared" si="14"/>
        <v>1.1840684459022646</v>
      </c>
      <c r="I38" s="20">
        <f t="shared" si="14"/>
        <v>1.1890834829172909</v>
      </c>
      <c r="J38" s="20">
        <f t="shared" si="14"/>
        <v>1.1938160717552353</v>
      </c>
      <c r="K38" s="21">
        <f t="shared" si="14"/>
        <v>1.198258080258106</v>
      </c>
      <c r="N38" s="3488"/>
      <c r="O38" s="3490"/>
      <c r="Q38" s="47">
        <v>18</v>
      </c>
      <c r="R38" s="856">
        <f>-SUM(B32:K32) - SUM(B64:I64)</f>
        <v>0</v>
      </c>
      <c r="S38" s="856">
        <f>SUM(B33:K33) + SUM(B65:I65)+R38</f>
        <v>913256.23611866671</v>
      </c>
      <c r="Z38" s="1631" t="s">
        <v>4356</v>
      </c>
      <c r="AA38" s="1633">
        <v>38</v>
      </c>
    </row>
    <row r="39" spans="1:27" ht="13.35" customHeight="1">
      <c r="A39" s="17" t="s">
        <v>717</v>
      </c>
      <c r="B39" s="220">
        <f t="shared" ref="B39:K39" si="15">IF(OR(B22="Choose mgt fee",B22="Choose One!"),"",(B15+B16+B17+B18+B19) / -(B21+B22+B23))</f>
        <v>1.7135811364038767</v>
      </c>
      <c r="C39" s="220">
        <f t="shared" si="15"/>
        <v>1.6986414741416762</v>
      </c>
      <c r="D39" s="220">
        <f t="shared" si="15"/>
        <v>1.6838153795161992</v>
      </c>
      <c r="E39" s="220">
        <f t="shared" si="15"/>
        <v>1.6691036916538085</v>
      </c>
      <c r="F39" s="220">
        <f t="shared" si="15"/>
        <v>1.6545070724275655</v>
      </c>
      <c r="G39" s="220">
        <f t="shared" si="15"/>
        <v>1.6400260202512049</v>
      </c>
      <c r="H39" s="220">
        <f t="shared" si="15"/>
        <v>1.6256556118233505</v>
      </c>
      <c r="I39" s="220">
        <f t="shared" si="15"/>
        <v>1.6113991762480142</v>
      </c>
      <c r="J39" s="220">
        <f t="shared" si="15"/>
        <v>1.5972521637440003</v>
      </c>
      <c r="K39" s="221">
        <f t="shared" si="15"/>
        <v>1.5832200304264017</v>
      </c>
      <c r="N39" s="3488"/>
      <c r="O39" s="3490"/>
      <c r="Q39" s="92">
        <v>19</v>
      </c>
      <c r="R39" s="856">
        <f>-SUM(B32:K32) - SUM(B64:J64)</f>
        <v>0</v>
      </c>
      <c r="S39" s="856">
        <f>SUM(B33:K33) + SUM(B65:J65)+R39</f>
        <v>968004.13411933894</v>
      </c>
      <c r="Z39" s="1631" t="s">
        <v>4356</v>
      </c>
      <c r="AA39" s="1633">
        <v>39</v>
      </c>
    </row>
    <row r="40" spans="1:27" ht="13.35" customHeight="1">
      <c r="A40" s="340" t="s">
        <v>2399</v>
      </c>
      <c r="B40" s="177">
        <f>IF('Part II-Sources of Funds'!$I$40="","",-FV('Part II-Sources of Funds'!$K$40/12,12,B26/12,'Part II-Sources of Funds'!$I$40))</f>
        <v>3816153.8262158851</v>
      </c>
      <c r="C40" s="177">
        <f>IF('Part II-Sources of Funds'!$I$40="","",-FV('Part II-Sources of Funds'!$K$40/12,12,C26/12,B40))</f>
        <v>3789055.5875639175</v>
      </c>
      <c r="D40" s="177">
        <f>IF('Part II-Sources of Funds'!$I$40="","",-FV('Part II-Sources of Funds'!$K$40/12,12,D26/12,C40))</f>
        <v>3759940.5850535468</v>
      </c>
      <c r="E40" s="177">
        <f>IF('Part II-Sources of Funds'!$I$40="","",-FV('Part II-Sources of Funds'!$K$40/12,12,E26/12,D40))</f>
        <v>3728658.7227131203</v>
      </c>
      <c r="F40" s="177">
        <f>IF('Part II-Sources of Funds'!$I$40="","",-FV('Part II-Sources of Funds'!$K$40/12,12,F26/12,E40))</f>
        <v>3695048.7338032154</v>
      </c>
      <c r="G40" s="177">
        <f>IF('Part II-Sources of Funds'!$I$40="","",-FV('Part II-Sources of Funds'!$K$40/12,12,G26/12,F40))</f>
        <v>3658937.3494415479</v>
      </c>
      <c r="H40" s="177">
        <f>IF('Part II-Sources of Funds'!$I$40="","",-FV('Part II-Sources of Funds'!$K$40/12,12,H26/12,G40))</f>
        <v>3620138.4053534768</v>
      </c>
      <c r="I40" s="177">
        <f>IF('Part II-Sources of Funds'!$I$40="","",-FV('Part II-Sources of Funds'!$K$40/12,12,I26/12,H40))</f>
        <v>3578451.8821431613</v>
      </c>
      <c r="J40" s="177">
        <f>IF('Part II-Sources of Funds'!$I$40="","",-FV('Part II-Sources of Funds'!$K$40/12,12,J26/12,I40))</f>
        <v>3533662.8741376977</v>
      </c>
      <c r="K40" s="177">
        <f>IF('Part II-Sources of Funds'!$I$40="","",-FV('Part II-Sources of Funds'!$K$40/12,12,K26/12,J40))</f>
        <v>3485540.4814883368</v>
      </c>
      <c r="N40" s="3488"/>
      <c r="O40" s="3490"/>
      <c r="Q40" s="92">
        <v>20</v>
      </c>
      <c r="R40" s="856">
        <f>-SUM(B32:K32) - SUM(B64:K64)</f>
        <v>0</v>
      </c>
      <c r="S40" s="856">
        <f>SUM(B33:K33) + SUM(B65:K65)+R40</f>
        <v>1022538.6085434598</v>
      </c>
      <c r="Z40" s="1631" t="s">
        <v>4356</v>
      </c>
      <c r="AA40" s="1633">
        <v>40</v>
      </c>
    </row>
    <row r="41" spans="1:27" ht="13.35" customHeight="1">
      <c r="A41" s="340" t="s">
        <v>2400</v>
      </c>
      <c r="B41" s="178">
        <f>IF('Part II-Sources of Funds'!$I$41="","",-FV('Part II-Sources of Funds'!$K$41/12,12,B27/12,'Part II-Sources of Funds'!$I$41))</f>
        <v>1702844.5877477869</v>
      </c>
      <c r="C41" s="178">
        <f>IF('Part II-Sources of Funds'!$I$41="","",-FV('Part II-Sources of Funds'!$K$41/12,12,C27/12,B41))</f>
        <v>1767963.330415542</v>
      </c>
      <c r="D41" s="178">
        <f>IF('Part II-Sources of Funds'!$I$41="","",-FV('Part II-Sources of Funds'!$K$41/12,12,D27/12,C41))</f>
        <v>1835485.4138899904</v>
      </c>
      <c r="E41" s="178">
        <f>IF('Part II-Sources of Funds'!$I$41="","",-FV('Part II-Sources of Funds'!$K$41/12,12,E27/12,D41))</f>
        <v>1905547.4726558754</v>
      </c>
      <c r="F41" s="178">
        <f>IF('Part II-Sources of Funds'!$I$41="","",-FV('Part II-Sources of Funds'!$K$41/12,12,F27/12,E41))</f>
        <v>1978293.9974436741</v>
      </c>
      <c r="G41" s="178">
        <f>IF('Part II-Sources of Funds'!$I$41="","",-FV('Part II-Sources of Funds'!$K$41/12,12,G27/12,F41))</f>
        <v>2053877.7640280551</v>
      </c>
      <c r="H41" s="178">
        <f>IF('Part II-Sources of Funds'!$I$41="","",-FV('Part II-Sources of Funds'!$K$41/12,12,H27/12,G41))</f>
        <v>2132460.7947933651</v>
      </c>
      <c r="I41" s="178">
        <f>IF('Part II-Sources of Funds'!$I$41="","",-FV('Part II-Sources of Funds'!$K$41/12,12,I27/12,H41))</f>
        <v>2214214.090934969</v>
      </c>
      <c r="J41" s="178">
        <f>IF('Part II-Sources of Funds'!$I$41="","",-FV('Part II-Sources of Funds'!$K$41/12,12,J27/12,I41))</f>
        <v>2299318.8863373939</v>
      </c>
      <c r="K41" s="178">
        <f>IF('Part II-Sources of Funds'!$I$41="","",-FV('Part II-Sources of Funds'!$K$41/12,12,K27/12,J41))</f>
        <v>2387966.175268725</v>
      </c>
      <c r="N41" s="3488"/>
      <c r="O41" s="3490"/>
      <c r="Z41" s="1631" t="s">
        <v>4356</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8"/>
      <c r="O42" s="3490"/>
      <c r="Z42" s="1631" t="s">
        <v>4356</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8"/>
      <c r="O43" s="3490"/>
      <c r="Z43" s="1631" t="s">
        <v>4356</v>
      </c>
      <c r="AA43" s="1633">
        <v>43</v>
      </c>
    </row>
    <row r="44" spans="1:27" ht="13.35" customHeight="1">
      <c r="A44" s="340" t="s">
        <v>3273</v>
      </c>
      <c r="B44" s="179">
        <f>IF('Part II-Sources of Funds'!$I$45="","",-FV('Part II-Sources of Funds'!$K$45/12,12,B32/12,'Part II-Sources of Funds'!$I$45))</f>
        <v>52510</v>
      </c>
      <c r="C44" s="179">
        <f>IF('Part II-Sources of Funds'!$I$45="","",IF(-FV('Part II-Sources of Funds'!$K$45/12,12,C32/12,B44)&gt;0,-FV('Part II-Sources of Funds'!$K$45/12,12,C32/12,B44),0))</f>
        <v>52510</v>
      </c>
      <c r="D44" s="179">
        <f>IF('Part II-Sources of Funds'!$I$45="","",IF(-FV('Part II-Sources of Funds'!$K$45/12,12,D32/12,C44)&gt;0,-FV('Part II-Sources of Funds'!$K$45/12,12,D32/12,C44),0))</f>
        <v>52510</v>
      </c>
      <c r="E44" s="179">
        <f>IF('Part II-Sources of Funds'!$I$45="","",IF(-FV('Part II-Sources of Funds'!$K$45/12,12,E32/12,D44)&gt;0,-FV('Part II-Sources of Funds'!$K$45/12,12,E32/12,D44),0))</f>
        <v>52510</v>
      </c>
      <c r="F44" s="179">
        <f>IF('Part II-Sources of Funds'!$I$45="","",IF(-FV('Part II-Sources of Funds'!$K$45/12,12,F32/12,E44)&gt;0,-FV('Part II-Sources of Funds'!$K$45/12,12,F32/12,E44),0))</f>
        <v>52510</v>
      </c>
      <c r="G44" s="179">
        <f>IF('Part II-Sources of Funds'!$I$45="","",IF(-FV('Part II-Sources of Funds'!$K$45/12,12,G32/12,F44)&gt;0,-FV('Part II-Sources of Funds'!$K$45/12,12,G32/12,F44),0))</f>
        <v>52510</v>
      </c>
      <c r="H44" s="179">
        <f>IF('Part II-Sources of Funds'!$I$45="","",IF(-FV('Part II-Sources of Funds'!$K$45/12,12,H32/12,G44)&gt;0,-FV('Part II-Sources of Funds'!$K$45/12,12,H32/12,G44),0))</f>
        <v>52510</v>
      </c>
      <c r="I44" s="179">
        <f>IF('Part II-Sources of Funds'!$I$45="","",IF(-FV('Part II-Sources of Funds'!$K$45/12,12,I32/12,H44)&gt;0,-FV('Part II-Sources of Funds'!$K$45/12,12,I32/12,H44),0))</f>
        <v>52510</v>
      </c>
      <c r="J44" s="179">
        <f>IF('Part II-Sources of Funds'!$I$45="","",IF(-FV('Part II-Sources of Funds'!$K$45/12,12,J32/12,I44)&gt;0,-FV('Part II-Sources of Funds'!$K$45/12,12,J32/12,I44),0))</f>
        <v>52510</v>
      </c>
      <c r="K44" s="179">
        <f>IF('Part II-Sources of Funds'!$I$45="","",IF(-FV('Part II-Sources of Funds'!$K$45/12,12,K32/12,J44)&gt;0,-FV('Part II-Sources of Funds'!$K$45/12,12,K32/12,J44),0))</f>
        <v>52510</v>
      </c>
      <c r="N44" s="3465"/>
      <c r="O44" s="3467"/>
      <c r="Z44" s="1631" t="s">
        <v>4356</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5" t="s">
        <v>2402</v>
      </c>
      <c r="O46" s="3155"/>
      <c r="AA46" s="1633">
        <v>46</v>
      </c>
    </row>
    <row r="47" spans="1:27" ht="13.35" customHeight="1">
      <c r="A47" s="14" t="s">
        <v>2209</v>
      </c>
      <c r="B47" s="15">
        <f t="shared" ref="B47:K47" si="17">$B$15*(1+$B$6)^(B46-1)</f>
        <v>1120558.1825913405</v>
      </c>
      <c r="C47" s="15">
        <f t="shared" si="17"/>
        <v>1142969.3462431671</v>
      </c>
      <c r="D47" s="15">
        <f t="shared" si="17"/>
        <v>1165828.7331680306</v>
      </c>
      <c r="E47" s="15">
        <f t="shared" si="17"/>
        <v>1189145.3078313912</v>
      </c>
      <c r="F47" s="15">
        <f t="shared" si="17"/>
        <v>1212928.2139880192</v>
      </c>
      <c r="G47" s="15">
        <f t="shared" si="17"/>
        <v>1237186.7782677792</v>
      </c>
      <c r="H47" s="15">
        <f t="shared" si="17"/>
        <v>1261930.5138331349</v>
      </c>
      <c r="I47" s="15">
        <f t="shared" si="17"/>
        <v>1287169.1241097976</v>
      </c>
      <c r="J47" s="15">
        <f t="shared" si="17"/>
        <v>1312912.5065919936</v>
      </c>
      <c r="K47" s="16">
        <f t="shared" si="17"/>
        <v>1339170.7567238333</v>
      </c>
      <c r="N47" s="3508"/>
      <c r="O47" s="3510"/>
      <c r="Z47" s="1631" t="s">
        <v>4357</v>
      </c>
      <c r="AA47" s="1633">
        <v>47</v>
      </c>
    </row>
    <row r="48" spans="1:27" ht="13.35" customHeight="1">
      <c r="A48" s="17" t="s">
        <v>951</v>
      </c>
      <c r="B48" s="18">
        <f t="shared" ref="B48:K48" si="18">$B$16*(1+$B$6)^(B46-1)</f>
        <v>22411.16365182681</v>
      </c>
      <c r="C48" s="18">
        <f t="shared" si="18"/>
        <v>22859.386924863342</v>
      </c>
      <c r="D48" s="18">
        <f t="shared" si="18"/>
        <v>23316.57466336061</v>
      </c>
      <c r="E48" s="18">
        <f t="shared" si="18"/>
        <v>23782.906156627821</v>
      </c>
      <c r="F48" s="18">
        <f t="shared" si="18"/>
        <v>24258.56427976038</v>
      </c>
      <c r="G48" s="18">
        <f t="shared" si="18"/>
        <v>24743.735565355582</v>
      </c>
      <c r="H48" s="18">
        <f t="shared" si="18"/>
        <v>25238.610276662697</v>
      </c>
      <c r="I48" s="18">
        <f t="shared" si="18"/>
        <v>25743.382482195953</v>
      </c>
      <c r="J48" s="18">
        <f t="shared" si="18"/>
        <v>26258.250131839868</v>
      </c>
      <c r="K48" s="19">
        <f t="shared" si="18"/>
        <v>26783.415134476665</v>
      </c>
      <c r="N48" s="3488"/>
      <c r="O48" s="3490"/>
      <c r="Z48" s="1631" t="s">
        <v>4357</v>
      </c>
      <c r="AA48" s="1633">
        <v>48</v>
      </c>
    </row>
    <row r="49" spans="1:27" ht="13.35" customHeight="1">
      <c r="A49" s="17" t="s">
        <v>2210</v>
      </c>
      <c r="B49" s="18">
        <f t="shared" ref="B49:K49" si="19">-(B47+B48)*$B$9</f>
        <v>-80007.854237021718</v>
      </c>
      <c r="C49" s="18">
        <f t="shared" si="19"/>
        <v>-81608.01132176214</v>
      </c>
      <c r="D49" s="18">
        <f t="shared" si="19"/>
        <v>-83240.171548197395</v>
      </c>
      <c r="E49" s="18">
        <f t="shared" si="19"/>
        <v>-84904.974979161343</v>
      </c>
      <c r="F49" s="18">
        <f t="shared" si="19"/>
        <v>-86603.074478744587</v>
      </c>
      <c r="G49" s="18">
        <f t="shared" si="19"/>
        <v>-88335.135968319431</v>
      </c>
      <c r="H49" s="18">
        <f t="shared" si="19"/>
        <v>-90101.838687685842</v>
      </c>
      <c r="I49" s="18">
        <f t="shared" si="19"/>
        <v>-91903.875461439558</v>
      </c>
      <c r="J49" s="18">
        <f t="shared" si="19"/>
        <v>-93741.952970668353</v>
      </c>
      <c r="K49" s="19">
        <f t="shared" si="19"/>
        <v>-95616.792030081706</v>
      </c>
      <c r="N49" s="3488"/>
      <c r="O49" s="3490"/>
      <c r="Z49" s="1631" t="s">
        <v>4357</v>
      </c>
      <c r="AA49" s="1633">
        <v>49</v>
      </c>
    </row>
    <row r="50" spans="1:27" ht="13.35" customHeight="1">
      <c r="A50" s="17" t="s">
        <v>47</v>
      </c>
      <c r="B50" s="18">
        <f>'Part V-Revenues &amp; Expenses'!H198</f>
        <v>22411.16365182681</v>
      </c>
      <c r="C50" s="18">
        <f>'Part V-Revenues &amp; Expenses'!I198</f>
        <v>22859.386924863345</v>
      </c>
      <c r="D50" s="18">
        <f>'Part V-Revenues &amp; Expenses'!J198</f>
        <v>23316.574663360614</v>
      </c>
      <c r="E50" s="18">
        <f>'Part V-Revenues &amp; Expenses'!K198</f>
        <v>23782.906156627825</v>
      </c>
      <c r="F50" s="18">
        <f>'Part V-Revenues &amp; Expenses'!L198</f>
        <v>24258.564279760383</v>
      </c>
      <c r="G50" s="18">
        <f>'Part V-Revenues &amp; Expenses'!M198</f>
        <v>24743.73556535559</v>
      </c>
      <c r="H50" s="18">
        <f>'Part V-Revenues &amp; Expenses'!N198</f>
        <v>25238.610276662701</v>
      </c>
      <c r="I50" s="18">
        <f>'Part V-Revenues &amp; Expenses'!O198</f>
        <v>25743.382482195957</v>
      </c>
      <c r="J50" s="18">
        <f>'Part V-Revenues &amp; Expenses'!P198</f>
        <v>26258.250131839875</v>
      </c>
      <c r="K50" s="19">
        <f>'Part V-Revenues &amp; Expenses'!Q198</f>
        <v>26783.415134476672</v>
      </c>
      <c r="N50" s="3488"/>
      <c r="O50" s="3490"/>
      <c r="Z50" s="1631" t="s">
        <v>4357</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8"/>
      <c r="O51" s="3490"/>
      <c r="Z51" s="1631" t="s">
        <v>4357</v>
      </c>
      <c r="AA51" s="1633">
        <v>51</v>
      </c>
    </row>
    <row r="52" spans="1:27" ht="13.35" customHeight="1">
      <c r="A52" s="340" t="s">
        <v>3712</v>
      </c>
      <c r="B52" s="18">
        <f t="shared" ref="B52:K52" si="20">SUM(B47:B51)</f>
        <v>1085372.6556579724</v>
      </c>
      <c r="C52" s="18">
        <f t="shared" si="20"/>
        <v>1107080.1087711316</v>
      </c>
      <c r="D52" s="18">
        <f t="shared" si="20"/>
        <v>1129221.7109465543</v>
      </c>
      <c r="E52" s="18">
        <f t="shared" si="20"/>
        <v>1151806.1451654858</v>
      </c>
      <c r="F52" s="18">
        <f t="shared" si="20"/>
        <v>1174842.2680687956</v>
      </c>
      <c r="G52" s="18">
        <f t="shared" si="20"/>
        <v>1198339.1134301708</v>
      </c>
      <c r="H52" s="18">
        <f t="shared" si="20"/>
        <v>1222305.8956987746</v>
      </c>
      <c r="I52" s="18">
        <f t="shared" si="20"/>
        <v>1246752.01361275</v>
      </c>
      <c r="J52" s="18">
        <f t="shared" si="20"/>
        <v>1271687.0538850049</v>
      </c>
      <c r="K52" s="19">
        <f t="shared" si="20"/>
        <v>1297120.7949627051</v>
      </c>
      <c r="N52" s="3488"/>
      <c r="O52" s="3490"/>
      <c r="Z52" s="1631" t="s">
        <v>4357</v>
      </c>
      <c r="AA52" s="1633">
        <v>52</v>
      </c>
    </row>
    <row r="53" spans="1:27" ht="13.35" customHeight="1">
      <c r="A53" s="17" t="s">
        <v>571</v>
      </c>
      <c r="B53" s="18">
        <f t="shared" ref="B53:K53" si="21">$B$21*(1+$B$7)^(B46-1)</f>
        <v>-597479.68784518901</v>
      </c>
      <c r="C53" s="18">
        <f t="shared" si="21"/>
        <v>-615404.07848054473</v>
      </c>
      <c r="D53" s="18">
        <f t="shared" si="21"/>
        <v>-633866.20083496091</v>
      </c>
      <c r="E53" s="18">
        <f t="shared" si="21"/>
        <v>-652882.1868600098</v>
      </c>
      <c r="F53" s="18">
        <f t="shared" si="21"/>
        <v>-672468.65246581007</v>
      </c>
      <c r="G53" s="18">
        <f t="shared" si="21"/>
        <v>-692642.71203978441</v>
      </c>
      <c r="H53" s="18">
        <f t="shared" si="21"/>
        <v>-713421.99340097781</v>
      </c>
      <c r="I53" s="18">
        <f t="shared" si="21"/>
        <v>-734824.65320300718</v>
      </c>
      <c r="J53" s="18">
        <f t="shared" si="21"/>
        <v>-756869.39279909746</v>
      </c>
      <c r="K53" s="19">
        <f t="shared" si="21"/>
        <v>-779575.47458307038</v>
      </c>
      <c r="N53" s="3488"/>
      <c r="O53" s="3490"/>
      <c r="Z53" s="1631" t="s">
        <v>4357</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-65122</v>
      </c>
      <c r="C54" s="18">
        <f>IF(AND('Part VI-Pro Forma'!$G$9="Yes",'Part VI-Pro Forma'!$G$10="Yes"),"Choose One!",IF('Part VI-Pro Forma'!$G$9="Yes",ROUND((-$K$9*(1+'Part VI-Pro Forma'!$B$7)^('Part VI-Pro Forma'!C46-1)),),IF('Part VI-Pro Forma'!$G$10="Yes",ROUND((-(SUM(C47:C50)*'Part VI-Pro Forma'!$K$10)),),"Choose mgt fee")))</f>
        <v>-66425</v>
      </c>
      <c r="D54" s="18">
        <f>IF(AND('Part VI-Pro Forma'!$G$9="Yes",'Part VI-Pro Forma'!$G$10="Yes"),"Choose One!",IF('Part VI-Pro Forma'!$G$9="Yes",ROUND((-$K$9*(1+'Part VI-Pro Forma'!$B$7)^('Part VI-Pro Forma'!D46-1)),),IF('Part VI-Pro Forma'!$G$10="Yes",ROUND((-(SUM(D47:D50)*'Part VI-Pro Forma'!$K$10)),),"Choose mgt fee")))</f>
        <v>-67753</v>
      </c>
      <c r="E54" s="18">
        <f>IF(AND('Part VI-Pro Forma'!$G$9="Yes",'Part VI-Pro Forma'!$G$10="Yes"),"Choose One!",IF('Part VI-Pro Forma'!$G$9="Yes",ROUND((-$K$9*(1+'Part VI-Pro Forma'!$B$7)^('Part VI-Pro Forma'!E46-1)),),IF('Part VI-Pro Forma'!$G$10="Yes",ROUND((-(SUM(E47:E50)*'Part VI-Pro Forma'!$K$10)),),"Choose mgt fee")))</f>
        <v>-69108</v>
      </c>
      <c r="F54" s="18">
        <f>IF(AND('Part VI-Pro Forma'!$G$9="Yes",'Part VI-Pro Forma'!$G$10="Yes"),"Choose One!",IF('Part VI-Pro Forma'!$G$9="Yes",ROUND((-$K$9*(1+'Part VI-Pro Forma'!$B$7)^('Part VI-Pro Forma'!F46-1)),),IF('Part VI-Pro Forma'!$G$10="Yes",ROUND((-(SUM(F47:F50)*'Part VI-Pro Forma'!$K$10)),),"Choose mgt fee")))</f>
        <v>-70491</v>
      </c>
      <c r="G54" s="18">
        <f>IF(AND('Part VI-Pro Forma'!$G$9="Yes",'Part VI-Pro Forma'!$G$10="Yes"),"Choose One!",IF('Part VI-Pro Forma'!$G$9="Yes",ROUND((-$K$9*(1+'Part VI-Pro Forma'!$B$7)^('Part VI-Pro Forma'!G46-1)),),IF('Part VI-Pro Forma'!$G$10="Yes",ROUND((-(SUM(G47:G50)*'Part VI-Pro Forma'!$K$10)),),"Choose mgt fee")))</f>
        <v>-71900</v>
      </c>
      <c r="H54" s="18">
        <f>IF(AND('Part VI-Pro Forma'!$G$9="Yes",'Part VI-Pro Forma'!$G$10="Yes"),"Choose One!",IF('Part VI-Pro Forma'!$G$9="Yes",ROUND((-$K$9*(1+'Part VI-Pro Forma'!$B$7)^('Part VI-Pro Forma'!H46-1)),),IF('Part VI-Pro Forma'!$G$10="Yes",ROUND((-(SUM(H47:H50)*'Part VI-Pro Forma'!$K$10)),),"Choose mgt fee")))</f>
        <v>-73338</v>
      </c>
      <c r="I54" s="18">
        <f>IF(AND('Part VI-Pro Forma'!$G$9="Yes",'Part VI-Pro Forma'!$G$10="Yes"),"Choose One!",IF('Part VI-Pro Forma'!$G$9="Yes",ROUND((-$K$9*(1+'Part VI-Pro Forma'!$B$7)^('Part VI-Pro Forma'!I46-1)),),IF('Part VI-Pro Forma'!$G$10="Yes",ROUND((-(SUM(I47:I50)*'Part VI-Pro Forma'!$K$10)),),"Choose mgt fee")))</f>
        <v>-74805</v>
      </c>
      <c r="J54" s="18">
        <f>IF(AND('Part VI-Pro Forma'!$G$9="Yes",'Part VI-Pro Forma'!$G$10="Yes"),"Choose One!",IF('Part VI-Pro Forma'!$G$9="Yes",ROUND((-$K$9*(1+'Part VI-Pro Forma'!$B$7)^('Part VI-Pro Forma'!J46-1)),),IF('Part VI-Pro Forma'!$G$10="Yes",ROUND((-(SUM(J47:J50)*'Part VI-Pro Forma'!$K$10)),),"Choose mgt fee")))</f>
        <v>-76301</v>
      </c>
      <c r="K54" s="19">
        <f>IF(AND('Part VI-Pro Forma'!$G$9="Yes",'Part VI-Pro Forma'!$G$10="Yes"),"Choose One!",IF('Part VI-Pro Forma'!$G$9="Yes",ROUND((-$K$9*(1+'Part VI-Pro Forma'!$B$7)^('Part VI-Pro Forma'!K46-1)),),IF('Part VI-Pro Forma'!$G$10="Yes",ROUND((-(SUM(K47:K50)*'Part VI-Pro Forma'!$K$10)),),"Choose mgt fee")))</f>
        <v>-77827</v>
      </c>
      <c r="N54" s="3488"/>
      <c r="O54" s="3490"/>
      <c r="Z54" s="1631" t="s">
        <v>4357</v>
      </c>
      <c r="AA54" s="1633">
        <v>54</v>
      </c>
    </row>
    <row r="55" spans="1:27" ht="13.35" customHeight="1">
      <c r="A55" s="17" t="s">
        <v>1127</v>
      </c>
      <c r="B55" s="18">
        <f t="shared" ref="B55:K55" si="22">$B$23*(1+$B$8)^(B46-1)</f>
        <v>-29028.593793833032</v>
      </c>
      <c r="C55" s="18">
        <f t="shared" si="22"/>
        <v>-29899.451607648021</v>
      </c>
      <c r="D55" s="18">
        <f t="shared" si="22"/>
        <v>-30796.435155877458</v>
      </c>
      <c r="E55" s="18">
        <f t="shared" si="22"/>
        <v>-31720.32821055378</v>
      </c>
      <c r="F55" s="18">
        <f t="shared" si="22"/>
        <v>-32671.938056870396</v>
      </c>
      <c r="G55" s="18">
        <f t="shared" si="22"/>
        <v>-33652.09619857651</v>
      </c>
      <c r="H55" s="18">
        <f t="shared" si="22"/>
        <v>-34661.6590845338</v>
      </c>
      <c r="I55" s="18">
        <f t="shared" si="22"/>
        <v>-35701.508857069814</v>
      </c>
      <c r="J55" s="18">
        <f t="shared" si="22"/>
        <v>-36772.554122781912</v>
      </c>
      <c r="K55" s="19">
        <f t="shared" si="22"/>
        <v>-37875.730746465364</v>
      </c>
      <c r="N55" s="3488"/>
      <c r="O55" s="3490"/>
      <c r="Q55" s="92"/>
      <c r="R55" s="856"/>
      <c r="S55" s="856"/>
      <c r="Z55" s="1631" t="s">
        <v>4357</v>
      </c>
      <c r="AA55" s="1633">
        <v>55</v>
      </c>
    </row>
    <row r="56" spans="1:27" ht="13.35" customHeight="1">
      <c r="A56" s="340" t="s">
        <v>3711</v>
      </c>
      <c r="B56" s="1223">
        <f>IF(B46&lt;=+'Part V-Revenues &amp; Expenses'!$N$255,-'Part V-Revenues &amp; Expenses'!$K$255,0)</f>
        <v>-10000</v>
      </c>
      <c r="C56" s="1223">
        <f>IF(C46&lt;=+'Part V-Revenues &amp; Expenses'!$N$255,-'Part V-Revenues &amp; Expenses'!$K$255,0)</f>
        <v>-10000</v>
      </c>
      <c r="D56" s="1223">
        <f>IF(D46&lt;=+'Part V-Revenues &amp; Expenses'!$N$255,-'Part V-Revenues &amp; Expenses'!$K$255,0)</f>
        <v>-10000</v>
      </c>
      <c r="E56" s="1223">
        <f>IF(E46&lt;=+'Part V-Revenues &amp; Expenses'!$N$255,-'Part V-Revenues &amp; Expenses'!$K$255,0)</f>
        <v>-10000</v>
      </c>
      <c r="F56" s="1223">
        <v>-10000</v>
      </c>
      <c r="G56" s="1223">
        <v>-15000</v>
      </c>
      <c r="H56" s="1223">
        <v>-15000</v>
      </c>
      <c r="I56" s="1223">
        <v>-15000</v>
      </c>
      <c r="J56" s="1223">
        <v>-15000</v>
      </c>
      <c r="K56" s="1223">
        <v>-15000</v>
      </c>
      <c r="N56" s="3488"/>
      <c r="O56" s="3490"/>
      <c r="Z56" s="1631" t="s">
        <v>4357</v>
      </c>
      <c r="AA56" s="1633">
        <v>56</v>
      </c>
    </row>
    <row r="57" spans="1:27" ht="13.35" customHeight="1">
      <c r="A57" s="17" t="s">
        <v>1128</v>
      </c>
      <c r="B57" s="18">
        <f t="shared" ref="B57:K57" si="23">SUM(B52:B56)</f>
        <v>383742.37401895039</v>
      </c>
      <c r="C57" s="18">
        <f t="shared" si="23"/>
        <v>385351.57868293882</v>
      </c>
      <c r="D57" s="18">
        <f t="shared" si="23"/>
        <v>386806.07495571597</v>
      </c>
      <c r="E57" s="18">
        <f t="shared" si="23"/>
        <v>388095.63009492221</v>
      </c>
      <c r="F57" s="18">
        <f t="shared" si="23"/>
        <v>389210.67754611507</v>
      </c>
      <c r="G57" s="18">
        <f t="shared" si="23"/>
        <v>385144.30519180989</v>
      </c>
      <c r="H57" s="18">
        <f t="shared" si="23"/>
        <v>385884.24321326299</v>
      </c>
      <c r="I57" s="18">
        <f t="shared" si="23"/>
        <v>386420.85155267298</v>
      </c>
      <c r="J57" s="18">
        <f t="shared" si="23"/>
        <v>386744.10696312558</v>
      </c>
      <c r="K57" s="1156">
        <f t="shared" si="23"/>
        <v>386842.58963316935</v>
      </c>
      <c r="N57" s="3488"/>
      <c r="O57" s="3490"/>
      <c r="Z57" s="1631" t="s">
        <v>4357</v>
      </c>
      <c r="AA57" s="1633">
        <v>57</v>
      </c>
    </row>
    <row r="58" spans="1:27" ht="13.35" customHeight="1">
      <c r="A58" s="17" t="str">
        <f>$A26</f>
        <v>Mortgage A</v>
      </c>
      <c r="B58" s="341">
        <f>IF('Part II-Sources of Funds'!$P$40="", 0,-'Part II-Sources of Funds'!$P$40)</f>
        <v>-300978.66166959668</v>
      </c>
      <c r="C58" s="341">
        <f>IF('Part II-Sources of Funds'!$P$40="", 0,-'Part II-Sources of Funds'!$P$40)</f>
        <v>-300978.66166959668</v>
      </c>
      <c r="D58" s="341">
        <f>IF('Part II-Sources of Funds'!$P$40="", 0,-'Part II-Sources of Funds'!$P$40)</f>
        <v>-300978.66166959668</v>
      </c>
      <c r="E58" s="341">
        <f>IF('Part II-Sources of Funds'!$P$40="", 0,-'Part II-Sources of Funds'!$P$40)</f>
        <v>-300978.66166959668</v>
      </c>
      <c r="F58" s="341">
        <f>IF('Part II-Sources of Funds'!$P$40="", 0,-'Part II-Sources of Funds'!$P$40)</f>
        <v>-300978.66166959668</v>
      </c>
      <c r="G58" s="341">
        <f>IF('Part II-Sources of Funds'!$P$40="", 0,-'Part II-Sources of Funds'!$P$40)</f>
        <v>-300978.66166959668</v>
      </c>
      <c r="H58" s="341">
        <f>IF('Part II-Sources of Funds'!$P$40="", 0,-'Part II-Sources of Funds'!$P$40)</f>
        <v>-300978.66166959668</v>
      </c>
      <c r="I58" s="341">
        <f>IF('Part II-Sources of Funds'!$P$40="", 0,-'Part II-Sources of Funds'!$P$40)</f>
        <v>-300978.66166959668</v>
      </c>
      <c r="J58" s="341">
        <f>IF('Part II-Sources of Funds'!$P$40="", 0,-'Part II-Sources of Funds'!$P$40)</f>
        <v>-300978.66166959668</v>
      </c>
      <c r="K58" s="341">
        <f>IF('Part II-Sources of Funds'!$P$40="", 0,-'Part II-Sources of Funds'!$P$40)</f>
        <v>-300978.66166959668</v>
      </c>
      <c r="N58" s="3488"/>
      <c r="O58" s="3490"/>
      <c r="Z58" s="1631" t="s">
        <v>4357</v>
      </c>
      <c r="AA58" s="1633">
        <v>58</v>
      </c>
    </row>
    <row r="59" spans="1:27" ht="13.35" customHeight="1">
      <c r="A59" s="17" t="str">
        <f>$A27</f>
        <v>Mortgage B</v>
      </c>
      <c r="B59" s="178">
        <v>-18171.084876068198</v>
      </c>
      <c r="C59" s="178">
        <v>-18497.790745727194</v>
      </c>
      <c r="D59" s="178">
        <v>-18783.551658693235</v>
      </c>
      <c r="E59" s="178">
        <v>-19025.7413936097</v>
      </c>
      <c r="F59" s="178">
        <v>-19221.898235026267</v>
      </c>
      <c r="G59" s="178">
        <v>-18120.221974426866</v>
      </c>
      <c r="H59" s="178">
        <v>-18217.570812606355</v>
      </c>
      <c r="I59" s="178">
        <v>-18261.458160259543</v>
      </c>
      <c r="J59" s="178">
        <v>-18249.299333557399</v>
      </c>
      <c r="K59" s="178">
        <v>-18178.158141373598</v>
      </c>
      <c r="N59" s="3488"/>
      <c r="O59" s="3490"/>
      <c r="Z59" s="1631" t="s">
        <v>4357</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8"/>
      <c r="O60" s="3490"/>
      <c r="Z60" s="1631" t="s">
        <v>4357</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8"/>
      <c r="O61" s="3490"/>
      <c r="Z61" s="1631" t="s">
        <v>4357</v>
      </c>
      <c r="AA61" s="1633">
        <v>61</v>
      </c>
    </row>
    <row r="62" spans="1:27" ht="13.35" customHeight="1">
      <c r="A62" s="17" t="s">
        <v>710</v>
      </c>
      <c r="B62" s="138"/>
      <c r="C62" s="138"/>
      <c r="D62" s="138"/>
      <c r="E62" s="138"/>
      <c r="F62" s="138"/>
      <c r="G62" s="138"/>
      <c r="H62" s="138"/>
      <c r="I62" s="138"/>
      <c r="J62" s="138"/>
      <c r="K62" s="138"/>
      <c r="N62" s="3488"/>
      <c r="O62" s="3490"/>
      <c r="Q62" s="92"/>
      <c r="R62" s="856"/>
      <c r="Z62" s="1631" t="s">
        <v>4357</v>
      </c>
      <c r="AA62" s="1633">
        <v>62</v>
      </c>
    </row>
    <row r="63" spans="1:27" ht="13.35" customHeight="1">
      <c r="A63" s="340" t="s">
        <v>1094</v>
      </c>
      <c r="B63" s="178">
        <f>K31*1.03</f>
        <v>-10079.372845080916</v>
      </c>
      <c r="C63" s="178">
        <f>B63*1.03</f>
        <v>-10381.754030433343</v>
      </c>
      <c r="D63" s="178">
        <f t="shared" ref="D63:K63" si="24">C63*1.03</f>
        <v>-10693.206651346343</v>
      </c>
      <c r="E63" s="178">
        <f t="shared" si="24"/>
        <v>-11014.002850886734</v>
      </c>
      <c r="F63" s="178">
        <f t="shared" si="24"/>
        <v>-11344.422936413337</v>
      </c>
      <c r="G63" s="178">
        <f t="shared" si="24"/>
        <v>-11684.755624505737</v>
      </c>
      <c r="H63" s="178">
        <f t="shared" si="24"/>
        <v>-12035.298293240909</v>
      </c>
      <c r="I63" s="178">
        <f t="shared" si="24"/>
        <v>-12396.357242038137</v>
      </c>
      <c r="J63" s="178">
        <f t="shared" si="24"/>
        <v>-12768.247959299282</v>
      </c>
      <c r="K63" s="178">
        <f t="shared" si="24"/>
        <v>-13151.29539807826</v>
      </c>
      <c r="N63" s="3488"/>
      <c r="O63" s="3490"/>
      <c r="Z63" s="1631" t="s">
        <v>4357</v>
      </c>
      <c r="AA63" s="1633">
        <v>63</v>
      </c>
    </row>
    <row r="64" spans="1:27" ht="13.35" customHeight="1">
      <c r="A64" s="340" t="s">
        <v>3272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8"/>
      <c r="O64" s="3490"/>
      <c r="Z64" s="1631" t="s">
        <v>4357</v>
      </c>
      <c r="AA64" s="1633">
        <v>64</v>
      </c>
    </row>
    <row r="65" spans="1:27" ht="13.35" customHeight="1">
      <c r="A65" s="17" t="s">
        <v>1095</v>
      </c>
      <c r="B65" s="18">
        <f t="shared" ref="B65:K65" si="25">SUM(B57:B64)</f>
        <v>54513.254628204595</v>
      </c>
      <c r="C65" s="18">
        <f t="shared" si="25"/>
        <v>55493.372237181604</v>
      </c>
      <c r="D65" s="18">
        <f t="shared" si="25"/>
        <v>56350.654976079713</v>
      </c>
      <c r="E65" s="18">
        <f t="shared" si="25"/>
        <v>57077.224180829093</v>
      </c>
      <c r="F65" s="18">
        <f t="shared" si="25"/>
        <v>57665.694705078786</v>
      </c>
      <c r="G65" s="18">
        <f t="shared" si="25"/>
        <v>54360.665923280612</v>
      </c>
      <c r="H65" s="18">
        <f t="shared" si="25"/>
        <v>54652.712437819049</v>
      </c>
      <c r="I65" s="18">
        <f t="shared" si="25"/>
        <v>54784.374480778613</v>
      </c>
      <c r="J65" s="18">
        <f t="shared" si="25"/>
        <v>54747.898000672219</v>
      </c>
      <c r="K65" s="496">
        <f t="shared" si="25"/>
        <v>54534.47442412081</v>
      </c>
      <c r="N65" s="3488"/>
      <c r="O65" s="3490"/>
      <c r="Z65" s="1631" t="s">
        <v>4357</v>
      </c>
      <c r="AA65" s="1633">
        <v>65</v>
      </c>
    </row>
    <row r="66" spans="1:27" ht="13.35" customHeight="1">
      <c r="A66" s="17" t="str">
        <f>$A34</f>
        <v>DCR Mortgage A</v>
      </c>
      <c r="B66" s="20">
        <f t="shared" ref="B66:K66" si="26">IF(B58=0,"",-B57/B58)</f>
        <v>1.2749819933753599</v>
      </c>
      <c r="C66" s="20">
        <f t="shared" si="26"/>
        <v>1.2803285672987796</v>
      </c>
      <c r="D66" s="20">
        <f t="shared" si="26"/>
        <v>1.2851611234165745</v>
      </c>
      <c r="E66" s="20">
        <f t="shared" si="26"/>
        <v>1.2894456634967675</v>
      </c>
      <c r="F66" s="20">
        <f t="shared" si="26"/>
        <v>1.2931504027131873</v>
      </c>
      <c r="G66" s="20">
        <f t="shared" si="26"/>
        <v>1.2796399022287073</v>
      </c>
      <c r="H66" s="20">
        <f t="shared" si="26"/>
        <v>1.2820983423631291</v>
      </c>
      <c r="I66" s="20">
        <f t="shared" si="26"/>
        <v>1.2838812207121566</v>
      </c>
      <c r="J66" s="20">
        <f t="shared" si="26"/>
        <v>1.2849552350913138</v>
      </c>
      <c r="K66" s="21">
        <f t="shared" si="26"/>
        <v>1.2852824432378895</v>
      </c>
      <c r="N66" s="3488"/>
      <c r="O66" s="3490"/>
      <c r="Z66" s="1631" t="s">
        <v>4357</v>
      </c>
      <c r="AA66" s="1633">
        <v>66</v>
      </c>
    </row>
    <row r="67" spans="1:27" ht="13.35" customHeight="1">
      <c r="A67" s="17" t="str">
        <f>$A35</f>
        <v>DCR Mortgage B</v>
      </c>
      <c r="B67" s="20">
        <f t="shared" ref="B67:K67" si="27">IF(B59=0,"",-(B57+B58)/B59)</f>
        <v>4.5546929593816223</v>
      </c>
      <c r="C67" s="20">
        <f t="shared" si="27"/>
        <v>4.5612429166889266</v>
      </c>
      <c r="D67" s="20">
        <f t="shared" si="27"/>
        <v>4.5692856625651741</v>
      </c>
      <c r="E67" s="20">
        <f t="shared" si="27"/>
        <v>4.5789000608715344</v>
      </c>
      <c r="F67" s="20">
        <f t="shared" si="27"/>
        <v>4.5901822389081968</v>
      </c>
      <c r="G67" s="20">
        <f t="shared" si="27"/>
        <v>4.6448461636395235</v>
      </c>
      <c r="H67" s="20">
        <f t="shared" si="27"/>
        <v>4.6606423225709435</v>
      </c>
      <c r="I67" s="20">
        <f t="shared" si="27"/>
        <v>4.6788262543576611</v>
      </c>
      <c r="J67" s="20">
        <f t="shared" si="27"/>
        <v>4.6996568868713027</v>
      </c>
      <c r="K67" s="21">
        <f t="shared" si="27"/>
        <v>4.7234668823870471</v>
      </c>
      <c r="N67" s="3488"/>
      <c r="O67" s="3490"/>
      <c r="Z67" s="1631" t="s">
        <v>4357</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8"/>
      <c r="O68" s="3490"/>
      <c r="Z68" s="1631" t="s">
        <v>4357</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8"/>
      <c r="O69" s="3490"/>
      <c r="Z69" s="1631" t="s">
        <v>4357</v>
      </c>
      <c r="AA69" s="1633">
        <v>69</v>
      </c>
    </row>
    <row r="70" spans="1:27" ht="13.35" customHeight="1">
      <c r="A70" s="340" t="s">
        <v>3128</v>
      </c>
      <c r="B70" s="20">
        <f t="shared" ref="B70:K70" si="30">IF(AND(B58=0,B59=0,B60=0,B61=0),"",-B57/(B58+B59+B60+B61))</f>
        <v>1.202389718846427</v>
      </c>
      <c r="C70" s="20">
        <f t="shared" si="30"/>
        <v>1.2061971258588298</v>
      </c>
      <c r="D70" s="20">
        <f t="shared" si="30"/>
        <v>1.2096678682874709</v>
      </c>
      <c r="E70" s="20">
        <f t="shared" si="30"/>
        <v>1.2127821566825963</v>
      </c>
      <c r="F70" s="20">
        <f t="shared" si="30"/>
        <v>1.2155215395689749</v>
      </c>
      <c r="G70" s="20">
        <f t="shared" si="30"/>
        <v>1.2069747809630837</v>
      </c>
      <c r="H70" s="20">
        <f t="shared" si="30"/>
        <v>1.208924805322626</v>
      </c>
      <c r="I70" s="20">
        <f t="shared" si="30"/>
        <v>1.2104395016472922</v>
      </c>
      <c r="J70" s="20">
        <f t="shared" si="30"/>
        <v>1.2114982213581988</v>
      </c>
      <c r="K70" s="21">
        <f t="shared" si="30"/>
        <v>1.2120768400383481</v>
      </c>
      <c r="N70" s="3488"/>
      <c r="O70" s="3490"/>
      <c r="Z70" s="1631" t="s">
        <v>4357</v>
      </c>
      <c r="AA70" s="1633">
        <v>70</v>
      </c>
    </row>
    <row r="71" spans="1:27" ht="13.35" customHeight="1">
      <c r="A71" s="17" t="s">
        <v>717</v>
      </c>
      <c r="B71" s="220">
        <f t="shared" ref="B71:K71" si="31">IF(OR(B54="Choose mgt fee",B54="Choose One!"),"",(B47+B48+B49+B50+B51) / -(B53+B54+B55))</f>
        <v>1.569296030656526</v>
      </c>
      <c r="C71" s="220">
        <f t="shared" si="31"/>
        <v>1.5554808637978155</v>
      </c>
      <c r="D71" s="220">
        <f t="shared" si="31"/>
        <v>1.5417771760414458</v>
      </c>
      <c r="E71" s="220">
        <f t="shared" si="31"/>
        <v>1.5281810750081575</v>
      </c>
      <c r="F71" s="220">
        <f t="shared" si="31"/>
        <v>1.5146911013218223</v>
      </c>
      <c r="G71" s="220">
        <f t="shared" si="31"/>
        <v>1.5013115859209107</v>
      </c>
      <c r="H71" s="220">
        <f t="shared" si="31"/>
        <v>1.4880371025042267</v>
      </c>
      <c r="I71" s="220">
        <f t="shared" si="31"/>
        <v>1.4748681576749261</v>
      </c>
      <c r="J71" s="220">
        <f t="shared" si="31"/>
        <v>1.461805119961737</v>
      </c>
      <c r="K71" s="221">
        <f t="shared" si="31"/>
        <v>1.4488466124172634</v>
      </c>
      <c r="N71" s="3488"/>
      <c r="O71" s="3490"/>
      <c r="Z71" s="1631" t="s">
        <v>4357</v>
      </c>
      <c r="AA71" s="1633">
        <v>71</v>
      </c>
    </row>
    <row r="72" spans="1:27" ht="13.35" customHeight="1">
      <c r="A72" s="340" t="s">
        <v>2399</v>
      </c>
      <c r="B72" s="177">
        <f>IF('Part II-Sources of Funds'!$I$40="","",-FV('Part II-Sources of Funds'!$K$40/12,12,B58/12,K40))</f>
        <v>3433836.6198172593</v>
      </c>
      <c r="C72" s="177">
        <f>IF('Part II-Sources of Funds'!$I$40="","",-FV('Part II-Sources of Funds'!$K$40/12,12,C58/12,B72))</f>
        <v>3378284.7412733026</v>
      </c>
      <c r="D72" s="177">
        <f>IF('Part II-Sources of Funds'!$I$40="","",-FV('Part II-Sources of Funds'!$K$40/12,12,D58/12,C72))</f>
        <v>3318598.4604033222</v>
      </c>
      <c r="E72" s="177">
        <f>IF('Part II-Sources of Funds'!$I$40="","",-FV('Part II-Sources of Funds'!$K$40/12,12,E58/12,D72))</f>
        <v>3254470.0777551769</v>
      </c>
      <c r="F72" s="177">
        <f>IF('Part II-Sources of Funds'!$I$40="","",-FV('Part II-Sources of Funds'!$K$40/12,12,F58/12,E72))</f>
        <v>3185568.9936010903</v>
      </c>
      <c r="G72" s="177">
        <f>IF('Part II-Sources of Funds'!$I$40="","",-FV('Part II-Sources of Funds'!$K$40/12,12,G58/12,F72))</f>
        <v>3111540.0036036973</v>
      </c>
      <c r="H72" s="177">
        <f>IF('Part II-Sources of Funds'!$I$40="","",-FV('Part II-Sources of Funds'!$K$40/12,12,H58/12,G72))</f>
        <v>3032001.4676384535</v>
      </c>
      <c r="I72" s="177">
        <f>IF('Part II-Sources of Funds'!$I$40="","",-FV('Part II-Sources of Funds'!$K$40/12,12,I58/12,H72))</f>
        <v>2946543.3423321759</v>
      </c>
      <c r="J72" s="177">
        <f>IF('Part II-Sources of Funds'!$I$40="","",-FV('Part II-Sources of Funds'!$K$40/12,12,J58/12,I72))</f>
        <v>2854725.0671749031</v>
      </c>
      <c r="K72" s="177">
        <f>IF('Part II-Sources of Funds'!$I$40="","",-FV('Part II-Sources of Funds'!$K$40/12,12,K58/12,J72))</f>
        <v>2756073.2933073873</v>
      </c>
      <c r="N72" s="3488"/>
      <c r="O72" s="3490"/>
      <c r="Z72" s="1631" t="s">
        <v>4357</v>
      </c>
      <c r="AA72" s="1633">
        <v>72</v>
      </c>
    </row>
    <row r="73" spans="1:27" ht="13.35" customHeight="1">
      <c r="A73" s="340" t="s">
        <v>2400</v>
      </c>
      <c r="B73" s="178">
        <f>IF('Part II-Sources of Funds'!$I$41="","",-FV('Part II-Sources of Funds'!$K$41/12,12,B59/12,K41))</f>
        <v>2480358.5182545776</v>
      </c>
      <c r="C73" s="178">
        <f>IF('Part II-Sources of Funds'!$I$41="","",-FV('Part II-Sources of Funds'!$K$41/12,12,C59/12,B73))</f>
        <v>2576709.8923041741</v>
      </c>
      <c r="D73" s="178">
        <f>IF('Part II-Sources of Funds'!$I$41="","",-FV('Part II-Sources of Funds'!$K$41/12,12,D59/12,C73))</f>
        <v>2677246.0475161308</v>
      </c>
      <c r="E73" s="178">
        <f>IF('Part II-Sources of Funds'!$I$41="","",-FV('Part II-Sources of Funds'!$K$41/12,12,E59/12,D73))</f>
        <v>2782205.904242551</v>
      </c>
      <c r="F73" s="178">
        <f>IF('Part II-Sources of Funds'!$I$41="","",-FV('Part II-Sources of Funds'!$K$41/12,12,F59/12,E73))</f>
        <v>2891841.9970113724</v>
      </c>
      <c r="G73" s="178">
        <f>IF('Part II-Sources of Funds'!$I$41="","",-FV('Part II-Sources of Funds'!$K$41/12,12,G59/12,F73))</f>
        <v>3007696.8315791818</v>
      </c>
      <c r="H73" s="178">
        <f>IF('Part II-Sources of Funds'!$I$41="","",-FV('Part II-Sources of Funds'!$K$41/12,12,H59/12,G73))</f>
        <v>3128834.9881488197</v>
      </c>
      <c r="I73" s="178">
        <f>IF('Part II-Sources of Funds'!$I$41="","",-FV('Part II-Sources of Funds'!$K$41/12,12,I59/12,H73))</f>
        <v>3255556.5255304133</v>
      </c>
      <c r="J73" s="178">
        <f>IF('Part II-Sources of Funds'!$I$41="","",-FV('Part II-Sources of Funds'!$K$41/12,12,J59/12,I73))</f>
        <v>3388178.0828268575</v>
      </c>
      <c r="K73" s="178">
        <f>IF('Part II-Sources of Funds'!$I$41="","",-FV('Part II-Sources of Funds'!$K$41/12,12,K59/12,J73))</f>
        <v>3527034.0087012663</v>
      </c>
      <c r="N73" s="3488"/>
      <c r="O73" s="3490"/>
      <c r="Z73" s="1631" t="s">
        <v>4357</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8"/>
      <c r="O74" s="3490"/>
      <c r="Z74" s="1631" t="s">
        <v>4357</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8"/>
      <c r="O75" s="3490"/>
      <c r="Z75" s="1631" t="s">
        <v>4357</v>
      </c>
      <c r="AA75" s="1633">
        <v>75</v>
      </c>
    </row>
    <row r="76" spans="1:27" ht="13.35" customHeight="1">
      <c r="A76" s="340" t="s">
        <v>3273</v>
      </c>
      <c r="B76" s="179">
        <f>IF('Part II-Sources of Funds'!$I$45="","",IF(-FV('Part II-Sources of Funds'!$K$45/12,12,B64/12,K44)&gt;0,-FV('Part II-Sources of Funds'!$K$45/12,12,B64/12,K44),0))</f>
        <v>52510</v>
      </c>
      <c r="C76" s="179">
        <f>IF('Part II-Sources of Funds'!$I$45="","",IF(-FV('Part II-Sources of Funds'!$K$45/12,12,C64/12,B76)&gt;0,-FV('Part II-Sources of Funds'!$K$45/12,12,C64/12,B76),0))</f>
        <v>52510</v>
      </c>
      <c r="D76" s="179">
        <f>IF('Part II-Sources of Funds'!$I$45="","",IF(-FV('Part II-Sources of Funds'!$K$45/12,12,D64/12,C76)&gt;0,-FV('Part II-Sources of Funds'!$K$45/12,12,D64/12,C76),0))</f>
        <v>52510</v>
      </c>
      <c r="E76" s="179">
        <f>IF('Part II-Sources of Funds'!$I$45="","",IF(-FV('Part II-Sources of Funds'!$K$45/12,12,E64/12,D76)&gt;0,-FV('Part II-Sources of Funds'!$K$45/12,12,E64/12,D76),0))</f>
        <v>52510</v>
      </c>
      <c r="F76" s="179">
        <f>IF('Part II-Sources of Funds'!$I$45="","",IF(-FV('Part II-Sources of Funds'!$K$45/12,12,F64/12,E76)&gt;0,-FV('Part II-Sources of Funds'!$K$45/12,12,F64/12,E76),0))</f>
        <v>52510</v>
      </c>
      <c r="G76" s="179">
        <f>IF('Part II-Sources of Funds'!$I$45="","",IF(-FV('Part II-Sources of Funds'!$K$45/12,12,G64/12,F76)&gt;0,-FV('Part II-Sources of Funds'!$K$45/12,12,G64/12,F76),0))</f>
        <v>52510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4357</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5" t="s">
        <v>2403</v>
      </c>
      <c r="O78" s="3155"/>
      <c r="AA78" s="1633">
        <v>78</v>
      </c>
    </row>
    <row r="79" spans="1:27" ht="13.35" customHeight="1">
      <c r="A79" s="14" t="s">
        <v>2209</v>
      </c>
      <c r="B79" s="15">
        <f t="shared" ref="B79:K79" si="33">$B$15*(1+$B$6)^(B78-1)</f>
        <v>1365954.1718583102</v>
      </c>
      <c r="C79" s="15">
        <f t="shared" si="33"/>
        <v>1393273.2552954762</v>
      </c>
      <c r="D79" s="15">
        <f t="shared" si="33"/>
        <v>1421138.7204013858</v>
      </c>
      <c r="E79" s="15">
        <f t="shared" si="33"/>
        <v>1449561.4948094133</v>
      </c>
      <c r="F79" s="15">
        <f t="shared" si="33"/>
        <v>1478552.7247056016</v>
      </c>
      <c r="G79" s="15">
        <f t="shared" si="33"/>
        <v>1508123.7791997136</v>
      </c>
      <c r="H79" s="15">
        <f t="shared" si="33"/>
        <v>1538286.2547837081</v>
      </c>
      <c r="I79" s="15">
        <f t="shared" si="33"/>
        <v>1569051.9798793821</v>
      </c>
      <c r="J79" s="15">
        <f t="shared" si="33"/>
        <v>1600433.01947697</v>
      </c>
      <c r="K79" s="16">
        <f t="shared" si="33"/>
        <v>1632441.679866509</v>
      </c>
      <c r="N79" s="3508"/>
      <c r="O79" s="3510"/>
      <c r="Z79" s="1631" t="s">
        <v>4358</v>
      </c>
      <c r="AA79" s="1633">
        <v>79</v>
      </c>
    </row>
    <row r="80" spans="1:27" ht="13.35" customHeight="1">
      <c r="A80" s="17" t="s">
        <v>951</v>
      </c>
      <c r="B80" s="18">
        <f t="shared" ref="B80:K80" si="34">$B$16*(1+$B$6)^(B78-1)</f>
        <v>27319.083437166202</v>
      </c>
      <c r="C80" s="18">
        <f t="shared" si="34"/>
        <v>27865.465105909523</v>
      </c>
      <c r="D80" s="18">
        <f t="shared" si="34"/>
        <v>28422.774408027715</v>
      </c>
      <c r="E80" s="18">
        <f t="shared" si="34"/>
        <v>28991.229896188266</v>
      </c>
      <c r="F80" s="18">
        <f t="shared" si="34"/>
        <v>29571.054494112032</v>
      </c>
      <c r="G80" s="18">
        <f t="shared" si="34"/>
        <v>30162.475583994274</v>
      </c>
      <c r="H80" s="18">
        <f t="shared" si="34"/>
        <v>30765.725095674163</v>
      </c>
      <c r="I80" s="18">
        <f t="shared" si="34"/>
        <v>31381.039597587638</v>
      </c>
      <c r="J80" s="18">
        <f t="shared" si="34"/>
        <v>32008.6603895394</v>
      </c>
      <c r="K80" s="19">
        <f t="shared" si="34"/>
        <v>32648.83359733018</v>
      </c>
      <c r="N80" s="3488"/>
      <c r="O80" s="3490"/>
      <c r="Z80" s="1631" t="s">
        <v>4358</v>
      </c>
      <c r="AA80" s="1633">
        <v>80</v>
      </c>
    </row>
    <row r="81" spans="1:27" ht="13.35" customHeight="1">
      <c r="A81" s="17" t="s">
        <v>2210</v>
      </c>
      <c r="B81" s="18">
        <f t="shared" ref="B81:K81" si="35">-(B79+B80)*$B$9</f>
        <v>-97529.127870683355</v>
      </c>
      <c r="C81" s="18">
        <f t="shared" si="35"/>
        <v>-99479.710428097009</v>
      </c>
      <c r="D81" s="18">
        <f t="shared" si="35"/>
        <v>-101469.30463665896</v>
      </c>
      <c r="E81" s="18">
        <f t="shared" si="35"/>
        <v>-103498.69072939212</v>
      </c>
      <c r="F81" s="18">
        <f t="shared" si="35"/>
        <v>-105568.66454397996</v>
      </c>
      <c r="G81" s="18">
        <f t="shared" si="35"/>
        <v>-107680.03783485957</v>
      </c>
      <c r="H81" s="18">
        <f t="shared" si="35"/>
        <v>-109833.63859155677</v>
      </c>
      <c r="I81" s="18">
        <f t="shared" si="35"/>
        <v>-112030.3113633879</v>
      </c>
      <c r="J81" s="18">
        <f t="shared" si="35"/>
        <v>-114270.91759065566</v>
      </c>
      <c r="K81" s="19">
        <f t="shared" si="35"/>
        <v>-116556.33594246875</v>
      </c>
      <c r="N81" s="3488"/>
      <c r="O81" s="3490"/>
      <c r="Z81" s="1631" t="s">
        <v>4358</v>
      </c>
      <c r="AA81" s="1633">
        <v>81</v>
      </c>
    </row>
    <row r="82" spans="1:27" ht="13.35" customHeight="1">
      <c r="A82" s="17" t="s">
        <v>47</v>
      </c>
      <c r="B82" s="18">
        <f>'Part V-Revenues &amp; Expenses'!H207</f>
        <v>27319.083437166206</v>
      </c>
      <c r="C82" s="18">
        <f>'Part V-Revenues &amp; Expenses'!I207</f>
        <v>27865.46510590953</v>
      </c>
      <c r="D82" s="18">
        <f>'Part V-Revenues &amp; Expenses'!J207</f>
        <v>28422.774408027723</v>
      </c>
      <c r="E82" s="18">
        <f>'Part V-Revenues &amp; Expenses'!K207</f>
        <v>28991.229896188277</v>
      </c>
      <c r="F82" s="18">
        <f>'Part V-Revenues &amp; Expenses'!L207</f>
        <v>29571.054494112042</v>
      </c>
      <c r="G82" s="18">
        <f>'Part V-Revenues &amp; Expenses'!M207</f>
        <v>30162.475583994285</v>
      </c>
      <c r="H82" s="18">
        <f>'Part V-Revenues &amp; Expenses'!N207</f>
        <v>30765.72509567417</v>
      </c>
      <c r="I82" s="18">
        <f>'Part V-Revenues &amp; Expenses'!O207</f>
        <v>31381.039597587653</v>
      </c>
      <c r="J82" s="18">
        <f>'Part V-Revenues &amp; Expenses'!P207</f>
        <v>32008.660389539407</v>
      </c>
      <c r="K82" s="19">
        <f>'Part V-Revenues &amp; Expenses'!Q207</f>
        <v>32648.833597330195</v>
      </c>
      <c r="N82" s="3488"/>
      <c r="O82" s="3490"/>
      <c r="Z82" s="1631" t="s">
        <v>4358</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8"/>
      <c r="O83" s="3490"/>
      <c r="Z83" s="1631" t="s">
        <v>4358</v>
      </c>
      <c r="AA83" s="1633">
        <v>83</v>
      </c>
    </row>
    <row r="84" spans="1:27" ht="13.35" customHeight="1">
      <c r="A84" s="340" t="s">
        <v>3712</v>
      </c>
      <c r="B84" s="18">
        <f t="shared" ref="B84:K84" si="36">SUM(B79:B83)</f>
        <v>1323063.2108619593</v>
      </c>
      <c r="C84" s="18">
        <f t="shared" si="36"/>
        <v>1349524.4750791984</v>
      </c>
      <c r="D84" s="18">
        <f t="shared" si="36"/>
        <v>1376514.9645807825</v>
      </c>
      <c r="E84" s="18">
        <f t="shared" si="36"/>
        <v>1404045.2638723976</v>
      </c>
      <c r="F84" s="18">
        <f t="shared" si="36"/>
        <v>1432126.1691498456</v>
      </c>
      <c r="G84" s="18">
        <f t="shared" si="36"/>
        <v>1460768.6925328425</v>
      </c>
      <c r="H84" s="18">
        <f t="shared" si="36"/>
        <v>1489984.0663834997</v>
      </c>
      <c r="I84" s="18">
        <f t="shared" si="36"/>
        <v>1519783.7477111695</v>
      </c>
      <c r="J84" s="18">
        <f t="shared" si="36"/>
        <v>1550179.422665393</v>
      </c>
      <c r="K84" s="19">
        <f t="shared" si="36"/>
        <v>1581183.0111187005</v>
      </c>
      <c r="N84" s="3488"/>
      <c r="O84" s="3490"/>
      <c r="Z84" s="1631" t="s">
        <v>4358</v>
      </c>
      <c r="AA84" s="1633">
        <v>84</v>
      </c>
    </row>
    <row r="85" spans="1:27" ht="13.35" customHeight="1">
      <c r="A85" s="17" t="s">
        <v>571</v>
      </c>
      <c r="B85" s="18">
        <f t="shared" ref="B85:K85" si="37">$B$21*(1+$B$7)^(B78-1)</f>
        <v>-802962.73882056237</v>
      </c>
      <c r="C85" s="18">
        <f t="shared" si="37"/>
        <v>-827051.62098517921</v>
      </c>
      <c r="D85" s="18">
        <f t="shared" si="37"/>
        <v>-851863.16961473459</v>
      </c>
      <c r="E85" s="18">
        <f t="shared" si="37"/>
        <v>-877419.06470317673</v>
      </c>
      <c r="F85" s="18">
        <f t="shared" si="37"/>
        <v>-903741.6366442719</v>
      </c>
      <c r="G85" s="18">
        <f t="shared" si="37"/>
        <v>-930853.88574360008</v>
      </c>
      <c r="H85" s="18">
        <f t="shared" si="37"/>
        <v>-958779.5023159082</v>
      </c>
      <c r="I85" s="18">
        <f t="shared" si="37"/>
        <v>-987542.88738538534</v>
      </c>
      <c r="J85" s="18">
        <f t="shared" si="37"/>
        <v>-1017169.1740069469</v>
      </c>
      <c r="K85" s="19">
        <f t="shared" si="37"/>
        <v>-1047684.2492271551</v>
      </c>
      <c r="N85" s="3488"/>
      <c r="O85" s="3490"/>
      <c r="Z85" s="1631" t="s">
        <v>4358</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-79384</v>
      </c>
      <c r="C86" s="18">
        <f>IF(AND('Part VI-Pro Forma'!$G$9="Yes",'Part VI-Pro Forma'!$G$10="Yes"),"Choose One!",IF('Part VI-Pro Forma'!$G$9="Yes",ROUND((-$K$9*(1+'Part VI-Pro Forma'!$B$7)^('Part VI-Pro Forma'!C78-1)),),IF('Part VI-Pro Forma'!$G$10="Yes",ROUND((-(SUM(C79:C82)*'Part VI-Pro Forma'!$K$10)),),"Choose mgt fee")))</f>
        <v>-80971</v>
      </c>
      <c r="D86" s="18">
        <f>IF(AND('Part VI-Pro Forma'!$G$9="Yes",'Part VI-Pro Forma'!$G$10="Yes"),"Choose One!",IF('Part VI-Pro Forma'!$G$9="Yes",ROUND((-$K$9*(1+'Part VI-Pro Forma'!$B$7)^('Part VI-Pro Forma'!D78-1)),),IF('Part VI-Pro Forma'!$G$10="Yes",ROUND((-(SUM(D79:D82)*'Part VI-Pro Forma'!$K$10)),),"Choose mgt fee")))</f>
        <v>-82591</v>
      </c>
      <c r="E86" s="18">
        <f>IF(AND('Part VI-Pro Forma'!$G$9="Yes",'Part VI-Pro Forma'!$G$10="Yes"),"Choose One!",IF('Part VI-Pro Forma'!$G$9="Yes",ROUND((-$K$9*(1+'Part VI-Pro Forma'!$B$7)^('Part VI-Pro Forma'!E78-1)),),IF('Part VI-Pro Forma'!$G$10="Yes",ROUND((-(SUM(E79:E82)*'Part VI-Pro Forma'!$K$10)),),"Choose mgt fee")))</f>
        <v>-84243</v>
      </c>
      <c r="F86" s="18">
        <f>IF(AND('Part VI-Pro Forma'!$G$9="Yes",'Part VI-Pro Forma'!$G$10="Yes"),"Choose One!",IF('Part VI-Pro Forma'!$G$9="Yes",ROUND((-$K$9*(1+'Part VI-Pro Forma'!$B$7)^('Part VI-Pro Forma'!F78-1)),),IF('Part VI-Pro Forma'!$G$10="Yes",ROUND((-(SUM(F79:F82)*'Part VI-Pro Forma'!$K$10)),),"Choose mgt fee")))</f>
        <v>-85928</v>
      </c>
      <c r="G86" s="18">
        <f>IF(AND('Part VI-Pro Forma'!$G$9="Yes",'Part VI-Pro Forma'!$G$10="Yes"),"Choose One!",IF('Part VI-Pro Forma'!$G$9="Yes",ROUND((-$K$9*(1+'Part VI-Pro Forma'!$B$7)^('Part VI-Pro Forma'!G78-1)),),IF('Part VI-Pro Forma'!$G$10="Yes",ROUND((-(SUM(G79:G82)*'Part VI-Pro Forma'!$K$10)),),"Choose mgt fee")))</f>
        <v>-87646</v>
      </c>
      <c r="H86" s="18">
        <f>IF(AND('Part VI-Pro Forma'!$G$9="Yes",'Part VI-Pro Forma'!$G$10="Yes"),"Choose One!",IF('Part VI-Pro Forma'!$G$9="Yes",ROUND((-$K$9*(1+'Part VI-Pro Forma'!$B$7)^('Part VI-Pro Forma'!H78-1)),),IF('Part VI-Pro Forma'!$G$10="Yes",ROUND((-(SUM(H79:H82)*'Part VI-Pro Forma'!$K$10)),),"Choose mgt fee")))</f>
        <v>-89399</v>
      </c>
      <c r="I86" s="18">
        <f>IF(AND('Part VI-Pro Forma'!$G$9="Yes",'Part VI-Pro Forma'!$G$10="Yes"),"Choose One!",IF('Part VI-Pro Forma'!$G$9="Yes",ROUND((-$K$9*(1+'Part VI-Pro Forma'!$B$7)^('Part VI-Pro Forma'!I78-1)),),IF('Part VI-Pro Forma'!$G$10="Yes",ROUND((-(SUM(I79:I82)*'Part VI-Pro Forma'!$K$10)),),"Choose mgt fee")))</f>
        <v>-91187</v>
      </c>
      <c r="J86" s="18">
        <f>IF(AND('Part VI-Pro Forma'!$G$9="Yes",'Part VI-Pro Forma'!$G$10="Yes"),"Choose One!",IF('Part VI-Pro Forma'!$G$9="Yes",ROUND((-$K$9*(1+'Part VI-Pro Forma'!$B$7)^('Part VI-Pro Forma'!J78-1)),),IF('Part VI-Pro Forma'!$G$10="Yes",ROUND((-(SUM(J79:J82)*'Part VI-Pro Forma'!$K$10)),),"Choose mgt fee")))</f>
        <v>-93011</v>
      </c>
      <c r="K86" s="19">
        <f>IF(AND('Part VI-Pro Forma'!$G$9="Yes",'Part VI-Pro Forma'!$G$10="Yes"),"Choose One!",IF('Part VI-Pro Forma'!$G$9="Yes",ROUND((-$K$9*(1+'Part VI-Pro Forma'!$B$7)^('Part VI-Pro Forma'!K78-1)),),IF('Part VI-Pro Forma'!$G$10="Yes",ROUND((-(SUM(K79:K82)*'Part VI-Pro Forma'!$K$10)),),"Choose mgt fee")))</f>
        <v>-94871</v>
      </c>
      <c r="N86" s="3488"/>
      <c r="O86" s="3490"/>
      <c r="Z86" s="1631" t="s">
        <v>4358</v>
      </c>
      <c r="AA86" s="1633">
        <v>86</v>
      </c>
    </row>
    <row r="87" spans="1:27" ht="13.35" customHeight="1">
      <c r="A87" s="17" t="s">
        <v>1127</v>
      </c>
      <c r="B87" s="18">
        <f t="shared" ref="B87:K87" si="38">$B$23*(1+$B$8)^(B78-1)</f>
        <v>-39012.002668859328</v>
      </c>
      <c r="C87" s="18">
        <f t="shared" si="38"/>
        <v>-40182.362748925101</v>
      </c>
      <c r="D87" s="18">
        <f t="shared" si="38"/>
        <v>-41387.833631392859</v>
      </c>
      <c r="E87" s="18">
        <f t="shared" si="38"/>
        <v>-42629.46864033465</v>
      </c>
      <c r="F87" s="18">
        <f t="shared" si="38"/>
        <v>-43908.352699544681</v>
      </c>
      <c r="G87" s="18">
        <f t="shared" si="38"/>
        <v>-45225.603280531017</v>
      </c>
      <c r="H87" s="18">
        <f t="shared" si="38"/>
        <v>-46582.371378946955</v>
      </c>
      <c r="I87" s="18">
        <f t="shared" si="38"/>
        <v>-47979.84252031536</v>
      </c>
      <c r="J87" s="18">
        <f t="shared" si="38"/>
        <v>-49419.237795924819</v>
      </c>
      <c r="K87" s="19">
        <f t="shared" si="38"/>
        <v>-50901.81492980256</v>
      </c>
      <c r="N87" s="3488"/>
      <c r="O87" s="3490"/>
      <c r="Q87" s="92"/>
      <c r="R87" s="856"/>
      <c r="S87" s="856"/>
      <c r="Z87" s="1631" t="s">
        <v>4358</v>
      </c>
      <c r="AA87" s="1633">
        <v>87</v>
      </c>
    </row>
    <row r="88" spans="1:27" ht="13.35" customHeight="1">
      <c r="A88" s="340" t="s">
        <v>3711</v>
      </c>
      <c r="B88" s="1223">
        <v>-15000</v>
      </c>
      <c r="C88" s="1223">
        <v>-15000</v>
      </c>
      <c r="D88" s="1223">
        <v>-15000</v>
      </c>
      <c r="E88" s="1223">
        <v>-15000</v>
      </c>
      <c r="F88" s="1223">
        <v>-15000</v>
      </c>
      <c r="G88" s="1223">
        <v>-15000</v>
      </c>
      <c r="H88" s="1223">
        <v>-15000</v>
      </c>
      <c r="I88" s="1223">
        <v>-15000</v>
      </c>
      <c r="J88" s="1223">
        <v>-15000</v>
      </c>
      <c r="K88" s="1223">
        <v>-15000</v>
      </c>
      <c r="N88" s="3488"/>
      <c r="O88" s="3490"/>
      <c r="Z88" s="1631" t="s">
        <v>4358</v>
      </c>
      <c r="AA88" s="1633">
        <v>88</v>
      </c>
    </row>
    <row r="89" spans="1:27" ht="13.35" customHeight="1">
      <c r="A89" s="17" t="s">
        <v>1128</v>
      </c>
      <c r="B89" s="18">
        <f t="shared" ref="B89:K89" si="39">SUM(B84:B88)</f>
        <v>386704.46937253757</v>
      </c>
      <c r="C89" s="18">
        <f t="shared" si="39"/>
        <v>386319.49134509405</v>
      </c>
      <c r="D89" s="18">
        <f t="shared" si="39"/>
        <v>385672.961334655</v>
      </c>
      <c r="E89" s="18">
        <f t="shared" si="39"/>
        <v>384753.7305288862</v>
      </c>
      <c r="F89" s="18">
        <f t="shared" si="39"/>
        <v>383548.17980602902</v>
      </c>
      <c r="G89" s="18">
        <f t="shared" si="39"/>
        <v>382043.20350871142</v>
      </c>
      <c r="H89" s="18">
        <f t="shared" si="39"/>
        <v>380223.19268864451</v>
      </c>
      <c r="I89" s="18">
        <f t="shared" si="39"/>
        <v>378074.01780546881</v>
      </c>
      <c r="J89" s="18">
        <f t="shared" si="39"/>
        <v>375580.0108625213</v>
      </c>
      <c r="K89" s="1156">
        <f t="shared" si="39"/>
        <v>372725.94696174283</v>
      </c>
      <c r="N89" s="3488"/>
      <c r="O89" s="3490"/>
      <c r="Z89" s="1631" t="s">
        <v>4358</v>
      </c>
      <c r="AA89" s="1633">
        <v>89</v>
      </c>
    </row>
    <row r="90" spans="1:27" ht="13.35" customHeight="1">
      <c r="A90" s="17" t="str">
        <f>$A58</f>
        <v>Mortgage A</v>
      </c>
      <c r="B90" s="341">
        <f>IF('Part II-Sources of Funds'!$P$40="", 0,-'Part II-Sources of Funds'!$P$40)</f>
        <v>-300978.66166959668</v>
      </c>
      <c r="C90" s="341">
        <f>IF('Part II-Sources of Funds'!$P$40="", 0,-'Part II-Sources of Funds'!$P$40)</f>
        <v>-300978.66166959668</v>
      </c>
      <c r="D90" s="341">
        <f>IF('Part II-Sources of Funds'!$P$40="", 0,-'Part II-Sources of Funds'!$P$40)</f>
        <v>-300978.66166959668</v>
      </c>
      <c r="E90" s="341">
        <f>IF('Part II-Sources of Funds'!$P$40="", 0,-'Part II-Sources of Funds'!$P$40)</f>
        <v>-300978.66166959668</v>
      </c>
      <c r="F90" s="341">
        <f>IF('Part II-Sources of Funds'!$P$40="", 0,-'Part II-Sources of Funds'!$P$40)</f>
        <v>-300978.66166959668</v>
      </c>
      <c r="G90" s="341">
        <f>IF('Part II-Sources of Funds'!$P$40="", 0,-'Part II-Sources of Funds'!$P$40)</f>
        <v>-300978.66166959668</v>
      </c>
      <c r="H90" s="341">
        <f>IF('Part II-Sources of Funds'!$P$40="", 0,-'Part II-Sources of Funds'!$P$40)</f>
        <v>-300978.66166959668</v>
      </c>
      <c r="I90" s="341">
        <f>IF('Part II-Sources of Funds'!$P$40="", 0,-'Part II-Sources of Funds'!$P$40)</f>
        <v>-300978.66166959668</v>
      </c>
      <c r="J90" s="341">
        <f>IF('Part II-Sources of Funds'!$P$40="", 0,-'Part II-Sources of Funds'!$P$40)</f>
        <v>-300978.66166959668</v>
      </c>
      <c r="K90" s="341">
        <f>IF('Part II-Sources of Funds'!$P$40="", 0,-'Part II-Sources of Funds'!$P$40)</f>
        <v>-300978.66166959668</v>
      </c>
      <c r="N90" s="3488"/>
      <c r="O90" s="3490"/>
      <c r="Z90" s="1631" t="s">
        <v>4358</v>
      </c>
      <c r="AA90" s="1633">
        <v>90</v>
      </c>
    </row>
    <row r="91" spans="1:27" ht="13.35" customHeight="1">
      <c r="A91" s="17" t="str">
        <f>$A59</f>
        <v>Mortgage B</v>
      </c>
      <c r="B91" s="178">
        <v>-18044.993360730063</v>
      </c>
      <c r="C91" s="178">
        <v>-17847.155096919043</v>
      </c>
      <c r="D91" s="178">
        <v>-17580.881024650618</v>
      </c>
      <c r="E91" s="178">
        <v>-17243.292506459999</v>
      </c>
      <c r="F91" s="178">
        <v>-16830.890584494831</v>
      </c>
      <c r="G91" s="178">
        <v>-16340.301841677036</v>
      </c>
      <c r="H91" s="178">
        <v>-15767.524128117249</v>
      </c>
      <c r="I91" s="178">
        <v>-15108.922148523983</v>
      </c>
      <c r="J91" s="178">
        <v>-14360.472906223789</v>
      </c>
      <c r="K91" s="178">
        <v>-13518.260999268954</v>
      </c>
      <c r="N91" s="3488"/>
      <c r="O91" s="3490"/>
      <c r="Z91" s="1631" t="s">
        <v>4358</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8"/>
      <c r="O92" s="3490"/>
      <c r="Z92" s="1631" t="s">
        <v>4358</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8"/>
      <c r="O93" s="3490"/>
      <c r="Z93" s="1631" t="s">
        <v>4358</v>
      </c>
      <c r="AA93" s="1633">
        <v>93</v>
      </c>
    </row>
    <row r="94" spans="1:27" ht="13.35" customHeight="1">
      <c r="A94" s="17" t="s">
        <v>710</v>
      </c>
      <c r="B94" s="138"/>
      <c r="C94" s="138"/>
      <c r="D94" s="138"/>
      <c r="E94" s="138"/>
      <c r="F94" s="138"/>
      <c r="G94" s="138"/>
      <c r="H94" s="138"/>
      <c r="I94" s="138"/>
      <c r="J94" s="138"/>
      <c r="K94" s="138"/>
      <c r="N94" s="3488"/>
      <c r="O94" s="3490"/>
      <c r="Z94" s="1631" t="s">
        <v>4358</v>
      </c>
      <c r="AA94" s="1633">
        <v>94</v>
      </c>
    </row>
    <row r="95" spans="1:27" ht="13.35" customHeight="1">
      <c r="A95" s="340" t="s">
        <v>1094</v>
      </c>
      <c r="B95" s="179">
        <f>K63*1.03</f>
        <v>-13545.834260020609</v>
      </c>
      <c r="C95" s="179">
        <f>B95*1.03</f>
        <v>-13952.209287821228</v>
      </c>
      <c r="D95" s="179">
        <f t="shared" ref="D95:K95" si="40">C95*1.03</f>
        <v>-14370.775566455864</v>
      </c>
      <c r="E95" s="179">
        <f t="shared" si="40"/>
        <v>-14801.898833449541</v>
      </c>
      <c r="F95" s="179">
        <f t="shared" si="40"/>
        <v>-15245.955798453027</v>
      </c>
      <c r="G95" s="179">
        <f t="shared" si="40"/>
        <v>-15703.334472406619</v>
      </c>
      <c r="H95" s="179">
        <f t="shared" si="40"/>
        <v>-16174.434506578818</v>
      </c>
      <c r="I95" s="179">
        <f t="shared" si="40"/>
        <v>-16659.667541776183</v>
      </c>
      <c r="J95" s="179">
        <f t="shared" si="40"/>
        <v>-17159.457568029469</v>
      </c>
      <c r="K95" s="179">
        <f t="shared" si="40"/>
        <v>-17674.241295070355</v>
      </c>
      <c r="N95" s="3488"/>
      <c r="O95" s="3490"/>
      <c r="Z95" s="1631" t="s">
        <v>4358</v>
      </c>
      <c r="AA95" s="1633">
        <v>95</v>
      </c>
    </row>
    <row r="96" spans="1:27" ht="13.35" customHeight="1">
      <c r="A96" s="17" t="s">
        <v>1095</v>
      </c>
      <c r="B96" s="18">
        <f t="shared" ref="B96:K96" si="41">SUM(B89:B95)</f>
        <v>54134.980082190217</v>
      </c>
      <c r="C96" s="18">
        <f t="shared" si="41"/>
        <v>53541.4652907571</v>
      </c>
      <c r="D96" s="18">
        <f t="shared" si="41"/>
        <v>52742.64307395184</v>
      </c>
      <c r="E96" s="18">
        <f t="shared" si="41"/>
        <v>51729.877519379981</v>
      </c>
      <c r="F96" s="18">
        <f t="shared" si="41"/>
        <v>50492.671753484479</v>
      </c>
      <c r="G96" s="18">
        <f t="shared" si="41"/>
        <v>49020.905525031085</v>
      </c>
      <c r="H96" s="18">
        <f t="shared" si="41"/>
        <v>47302.572384351763</v>
      </c>
      <c r="I96" s="18">
        <f t="shared" si="41"/>
        <v>45326.766445571964</v>
      </c>
      <c r="J96" s="18">
        <f t="shared" si="41"/>
        <v>43081.418718671368</v>
      </c>
      <c r="K96" s="19">
        <f t="shared" si="41"/>
        <v>40554.782997806833</v>
      </c>
      <c r="N96" s="3488"/>
      <c r="O96" s="3490"/>
      <c r="Z96" s="1631" t="s">
        <v>4358</v>
      </c>
      <c r="AA96" s="1633">
        <v>96</v>
      </c>
    </row>
    <row r="97" spans="1:27" ht="13.35" customHeight="1">
      <c r="A97" s="17" t="str">
        <f>$A66</f>
        <v>DCR Mortgage A</v>
      </c>
      <c r="B97" s="20">
        <f t="shared" ref="B97:K97" si="42">IF(B90=0,"",-B89/B90)</f>
        <v>1.2848235394077456</v>
      </c>
      <c r="C97" s="20">
        <f t="shared" si="42"/>
        <v>1.2835444519624497</v>
      </c>
      <c r="D97" s="20">
        <f t="shared" si="42"/>
        <v>1.2813963594470117</v>
      </c>
      <c r="E97" s="20">
        <f t="shared" si="42"/>
        <v>1.2783422199918435</v>
      </c>
      <c r="F97" s="20">
        <f t="shared" si="42"/>
        <v>1.2743367841374553</v>
      </c>
      <c r="G97" s="20">
        <f t="shared" si="42"/>
        <v>1.2693365084070458</v>
      </c>
      <c r="H97" s="20">
        <f t="shared" si="42"/>
        <v>1.2632895321530786</v>
      </c>
      <c r="I97" s="20">
        <f t="shared" si="42"/>
        <v>1.256148910052981</v>
      </c>
      <c r="J97" s="20">
        <f t="shared" si="42"/>
        <v>1.2478625852713081</v>
      </c>
      <c r="K97" s="21">
        <f t="shared" si="42"/>
        <v>1.2383799731653657</v>
      </c>
      <c r="N97" s="3488"/>
      <c r="O97" s="3490"/>
      <c r="Z97" s="1631" t="s">
        <v>4358</v>
      </c>
      <c r="AA97" s="1633">
        <v>97</v>
      </c>
    </row>
    <row r="98" spans="1:27" ht="13.35" customHeight="1">
      <c r="A98" s="17" t="str">
        <f>$A67</f>
        <v>DCR Mortgage B</v>
      </c>
      <c r="B98" s="20">
        <f t="shared" ref="B98:K98" si="43">IF(B91=0,"",-(B89+B90)/B91)</f>
        <v>4.7506699497878122</v>
      </c>
      <c r="C98" s="20">
        <f t="shared" si="43"/>
        <v>4.781760970420982</v>
      </c>
      <c r="D98" s="20">
        <f t="shared" si="43"/>
        <v>4.8174092951488729</v>
      </c>
      <c r="E98" s="20">
        <f t="shared" si="43"/>
        <v>4.8584148780115033</v>
      </c>
      <c r="F98" s="20">
        <f t="shared" si="43"/>
        <v>4.9058317931493232</v>
      </c>
      <c r="G98" s="20">
        <f t="shared" si="43"/>
        <v>4.9610186289432052</v>
      </c>
      <c r="H98" s="20">
        <f t="shared" si="43"/>
        <v>5.0258068657549071</v>
      </c>
      <c r="I98" s="20">
        <f t="shared" si="43"/>
        <v>5.102637724783281</v>
      </c>
      <c r="J98" s="20">
        <f t="shared" si="43"/>
        <v>5.1949089476428458</v>
      </c>
      <c r="K98" s="21">
        <f t="shared" si="43"/>
        <v>5.3074345358494055</v>
      </c>
      <c r="N98" s="3488"/>
      <c r="O98" s="3490"/>
      <c r="Z98" s="1631" t="s">
        <v>4358</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8"/>
      <c r="O99" s="3490"/>
      <c r="Z99" s="1631" t="s">
        <v>4358</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8"/>
      <c r="O100" s="3490"/>
      <c r="Z100" s="1631" t="s">
        <v>4358</v>
      </c>
      <c r="AA100" s="1633">
        <v>100</v>
      </c>
    </row>
    <row r="101" spans="1:27" ht="13.35" customHeight="1">
      <c r="A101" s="340" t="s">
        <v>3128</v>
      </c>
      <c r="B101" s="20">
        <f t="shared" ref="B101:K101" si="46">IF(AND(B90=0,B91=0,B92=0,B93=0),"",-B89/(B90+B91+B92+B93))</f>
        <v>1.2121498305063836</v>
      </c>
      <c r="C101" s="20">
        <f t="shared" si="46"/>
        <v>1.2116945085033866</v>
      </c>
      <c r="D101" s="20">
        <f t="shared" si="46"/>
        <v>1.2106777843563863</v>
      </c>
      <c r="E101" s="20">
        <f t="shared" si="46"/>
        <v>1.2090734956520968</v>
      </c>
      <c r="F101" s="20">
        <f t="shared" si="46"/>
        <v>1.2068491242182013</v>
      </c>
      <c r="G101" s="20">
        <f t="shared" si="46"/>
        <v>1.2039721776512677</v>
      </c>
      <c r="H101" s="20">
        <f t="shared" si="46"/>
        <v>1.2004033820677777</v>
      </c>
      <c r="I101" s="20">
        <f t="shared" si="46"/>
        <v>1.1961052479145009</v>
      </c>
      <c r="J101" s="20">
        <f t="shared" si="46"/>
        <v>1.1910352052171833</v>
      </c>
      <c r="K101" s="21">
        <f t="shared" si="46"/>
        <v>1.1851497426389339</v>
      </c>
      <c r="N101" s="3488"/>
      <c r="O101" s="3490"/>
      <c r="Z101" s="1631" t="s">
        <v>4358</v>
      </c>
      <c r="AA101" s="1633">
        <v>101</v>
      </c>
    </row>
    <row r="102" spans="1:27" ht="13.35" customHeight="1">
      <c r="A102" s="17" t="s">
        <v>717</v>
      </c>
      <c r="B102" s="220">
        <f>IF(OR(B86="Choose mgt fee",B86="Choose One!"),"",(B79+B80+B81+B82+B83) / -(B85+B86+B87))</f>
        <v>1.4359913802121882</v>
      </c>
      <c r="C102" s="220">
        <f t="shared" ref="C102:K102" si="47">IF(OR(C86="Choose mgt fee",C86="Choose One!"),"",(C79+C80+C81+C82+C83) / -(C85+C86+C87))</f>
        <v>1.4232412803449597</v>
      </c>
      <c r="D102" s="220">
        <f t="shared" si="47"/>
        <v>1.4105920425661336</v>
      </c>
      <c r="E102" s="220">
        <f t="shared" si="47"/>
        <v>1.3980455049720637</v>
      </c>
      <c r="F102" s="220">
        <f t="shared" si="47"/>
        <v>1.3856004906403374</v>
      </c>
      <c r="G102" s="220">
        <f t="shared" si="47"/>
        <v>1.3732572055530619</v>
      </c>
      <c r="H102" s="220">
        <f t="shared" si="47"/>
        <v>1.3610132606902114</v>
      </c>
      <c r="I102" s="220">
        <f t="shared" si="47"/>
        <v>1.3488689299224981</v>
      </c>
      <c r="J102" s="220">
        <f t="shared" si="47"/>
        <v>1.3368232226465795</v>
      </c>
      <c r="K102" s="221">
        <f t="shared" si="47"/>
        <v>1.3248763266030248</v>
      </c>
      <c r="N102" s="3488"/>
      <c r="O102" s="3490"/>
      <c r="Z102" s="1631" t="s">
        <v>4358</v>
      </c>
      <c r="AA102" s="1633">
        <v>102</v>
      </c>
    </row>
    <row r="103" spans="1:27" ht="13.35" customHeight="1">
      <c r="A103" s="340" t="s">
        <v>2399</v>
      </c>
      <c r="B103" s="177">
        <f>IF('Part II-Sources of Funds'!$I$40="","",-FV('Part II-Sources of Funds'!$K$40/12,12,B90/12,K72))</f>
        <v>2650079.4432754903</v>
      </c>
      <c r="C103" s="177">
        <f>IF('Part II-Sources of Funds'!$I$40="","",-FV('Part II-Sources of Funds'!$K$40/12,12,C90/12,B103))</f>
        <v>2536197.0891713267</v>
      </c>
      <c r="D103" s="177">
        <f>IF('Part II-Sources of Funds'!$I$40="","",-FV('Part II-Sources of Funds'!$K$40/12,12,D90/12,C103))</f>
        <v>2413839.1356447474</v>
      </c>
      <c r="E103" s="177">
        <f>IF('Part II-Sources of Funds'!$I$40="","",-FV('Part II-Sources of Funds'!$K$40/12,12,E90/12,D103))</f>
        <v>2282374.7932627946</v>
      </c>
      <c r="F103" s="177">
        <f>IF('Part II-Sources of Funds'!$I$40="","",-FV('Part II-Sources of Funds'!$K$40/12,12,F90/12,E103))</f>
        <v>2141126.3266139547</v>
      </c>
      <c r="G103" s="177">
        <f>IF('Part II-Sources of Funds'!$I$40="","",-FV('Part II-Sources of Funds'!$K$40/12,12,G90/12,F103))</f>
        <v>1989365.560392777</v>
      </c>
      <c r="H103" s="177">
        <f>IF('Part II-Sources of Funds'!$I$40="","",-FV('Part II-Sources of Funds'!$K$40/12,12,H90/12,G103))</f>
        <v>1826310.1254527462</v>
      </c>
      <c r="I103" s="177">
        <f>IF('Part II-Sources of Funds'!$I$40="","",-FV('Part II-Sources of Funds'!$K$40/12,12,I90/12,H103))</f>
        <v>1651119.4254747673</v>
      </c>
      <c r="J103" s="177">
        <f>IF('Part II-Sources of Funds'!$I$40="","",-FV('Part II-Sources of Funds'!$K$40/12,12,J90/12,I103))</f>
        <v>1462890.303458306</v>
      </c>
      <c r="K103" s="177">
        <f>IF('Part II-Sources of Funds'!$I$40="","",-FV('Part II-Sources of Funds'!$K$40/12,12,K90/12,J103))</f>
        <v>1260652.385694741</v>
      </c>
      <c r="N103" s="3488"/>
      <c r="O103" s="3490"/>
      <c r="Z103" s="1631" t="s">
        <v>4358</v>
      </c>
      <c r="AA103" s="1633">
        <v>103</v>
      </c>
    </row>
    <row r="104" spans="1:27" ht="13.35" customHeight="1">
      <c r="A104" s="340" t="s">
        <v>2400</v>
      </c>
      <c r="B104" s="178">
        <f>IF('Part II-Sources of Funds'!$I$41="","",-FV('Part II-Sources of Funds'!$K$41/12,12,B91/12,K73))</f>
        <v>3672477.2914302698</v>
      </c>
      <c r="C104" s="178">
        <f>IF('Part II-Sources of Funds'!$I$41="","",-FV('Part II-Sources of Funds'!$K$41/12,12,C91/12,B104))</f>
        <v>3824880.0253252294</v>
      </c>
      <c r="D104" s="178">
        <f>IF('Part II-Sources of Funds'!$I$41="","",-FV('Part II-Sources of Funds'!$K$41/12,12,D91/12,C104))</f>
        <v>3984635.4343420733</v>
      </c>
      <c r="E104" s="178">
        <f>IF('Part II-Sources of Funds'!$I$41="","",-FV('Part II-Sources of Funds'!$K$41/12,12,E91/12,D104))</f>
        <v>4152157.9514335571</v>
      </c>
      <c r="F104" s="178">
        <f>IF('Part II-Sources of Funds'!$I$41="","",-FV('Part II-Sources of Funds'!$K$41/12,12,F91/12,E104))</f>
        <v>4327884.8373611746</v>
      </c>
      <c r="G104" s="178">
        <f>IF('Part II-Sources of Funds'!$I$41="","",-FV('Part II-Sources of Funds'!$K$41/12,12,G91/12,F104))</f>
        <v>4512277.1131048743</v>
      </c>
      <c r="H104" s="178">
        <f>IF('Part II-Sources of Funds'!$I$41="","",-FV('Part II-Sources of Funds'!$K$41/12,12,H91/12,G104))</f>
        <v>4705821.3057972686</v>
      </c>
      <c r="I104" s="178">
        <f>IF('Part II-Sources of Funds'!$I$41="","",-FV('Part II-Sources of Funds'!$K$41/12,12,I91/12,H104))</f>
        <v>4909030.259161409</v>
      </c>
      <c r="J104" s="178">
        <f>IF('Part II-Sources of Funds'!$I$41="","",-FV('Part II-Sources of Funds'!$K$41/12,12,J91/12,I104))</f>
        <v>5122444.7520944811</v>
      </c>
      <c r="K104" s="178">
        <f>IF('Part II-Sources of Funds'!$I$41="","",-FV('Part II-Sources of Funds'!$K$41/12,12,K91/12,J104))</f>
        <v>5346634.6866956912</v>
      </c>
      <c r="N104" s="3488"/>
      <c r="O104" s="3490"/>
      <c r="Z104" s="1631" t="s">
        <v>4358</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8"/>
      <c r="O105" s="3490"/>
      <c r="Z105" s="1631" t="s">
        <v>4358</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4358</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5" t="s">
        <v>3120</v>
      </c>
      <c r="O108" s="3155"/>
      <c r="AA108" s="1633">
        <v>108</v>
      </c>
    </row>
    <row r="109" spans="1:27" ht="13.35" customHeight="1">
      <c r="A109" s="14" t="s">
        <v>2209</v>
      </c>
      <c r="B109" s="15">
        <f>$B$15*(1+$B$6)^(B108-1)</f>
        <v>1665090.5134638394</v>
      </c>
      <c r="C109" s="15">
        <f>$B$15*(1+$B$6)^(C108-1)</f>
        <v>1698392.3237331158</v>
      </c>
      <c r="D109" s="15">
        <f>$B$15*(1+$B$6)^(D108-1)</f>
        <v>1732360.1702077785</v>
      </c>
      <c r="E109" s="15">
        <f>$B$15*(1+$B$6)^(E108-1)</f>
        <v>1767007.3736119343</v>
      </c>
      <c r="F109" s="496">
        <f>$B$15*(1+$B$6)^(F108-1)</f>
        <v>1802347.5210841727</v>
      </c>
      <c r="G109" s="13"/>
      <c r="H109" s="13"/>
      <c r="I109" s="13"/>
      <c r="J109" s="13"/>
      <c r="K109" s="13"/>
      <c r="N109" s="3508"/>
      <c r="O109" s="3510"/>
      <c r="Z109" s="1631" t="s">
        <v>4359</v>
      </c>
      <c r="AA109" s="1633">
        <v>109</v>
      </c>
    </row>
    <row r="110" spans="1:27" ht="13.35" customHeight="1">
      <c r="A110" s="17" t="s">
        <v>951</v>
      </c>
      <c r="B110" s="18">
        <f>$B$16*(1+$B$6)^(B108-1)</f>
        <v>33301.810269276786</v>
      </c>
      <c r="C110" s="18">
        <f>$B$16*(1+$B$6)^(C108-1)</f>
        <v>33967.846474662314</v>
      </c>
      <c r="D110" s="18">
        <f>$B$16*(1+$B$6)^(D108-1)</f>
        <v>34647.203404155567</v>
      </c>
      <c r="E110" s="18">
        <f>$B$16*(1+$B$6)^(E108-1)</f>
        <v>35340.147472238685</v>
      </c>
      <c r="F110" s="19">
        <f>$B$16*(1+$B$6)^(F108-1)</f>
        <v>36046.950421683454</v>
      </c>
      <c r="G110" s="13"/>
      <c r="H110" s="13"/>
      <c r="I110" s="13"/>
      <c r="J110" s="13"/>
      <c r="K110" s="13"/>
      <c r="N110" s="3488"/>
      <c r="O110" s="3490"/>
      <c r="Z110" s="1631" t="s">
        <v>4359</v>
      </c>
      <c r="AA110" s="1633">
        <v>110</v>
      </c>
    </row>
    <row r="111" spans="1:27" ht="13.35" customHeight="1">
      <c r="A111" s="17" t="s">
        <v>2210</v>
      </c>
      <c r="B111" s="18">
        <f>-(B109+B110)*$B$9</f>
        <v>-118887.46266131815</v>
      </c>
      <c r="C111" s="18">
        <f>-(C109+C110)*$B$9</f>
        <v>-121265.21191454449</v>
      </c>
      <c r="D111" s="18">
        <f>-(D109+D110)*$B$9</f>
        <v>-123690.51615283539</v>
      </c>
      <c r="E111" s="18">
        <f>-(E109+E110)*$B$9</f>
        <v>-126164.32647589211</v>
      </c>
      <c r="F111" s="19">
        <f>-(F109+F110)*$B$9</f>
        <v>-128687.61300540995</v>
      </c>
      <c r="G111" s="13"/>
      <c r="H111" s="13"/>
      <c r="I111" s="13"/>
      <c r="J111" s="13"/>
      <c r="K111" s="13"/>
      <c r="N111" s="3488"/>
      <c r="O111" s="3490"/>
      <c r="Z111" s="1631" t="s">
        <v>4359</v>
      </c>
      <c r="AA111" s="1633">
        <v>111</v>
      </c>
    </row>
    <row r="112" spans="1:27" ht="13.35" customHeight="1">
      <c r="A112" s="17" t="s">
        <v>47</v>
      </c>
      <c r="B112" s="18">
        <f>'Part V-Revenues &amp; Expenses'!H216</f>
        <v>33301.810269276801</v>
      </c>
      <c r="C112" s="18">
        <f>'Part V-Revenues &amp; Expenses'!I216</f>
        <v>33967.846474662336</v>
      </c>
      <c r="D112" s="18">
        <f>'Part V-Revenues &amp; Expenses'!J216</f>
        <v>34647.203404155582</v>
      </c>
      <c r="E112" s="18">
        <f>'Part V-Revenues &amp; Expenses'!K216</f>
        <v>35340.147472238692</v>
      </c>
      <c r="F112" s="19">
        <f>'Part V-Revenues &amp; Expenses'!L216</f>
        <v>36046.950421683468</v>
      </c>
      <c r="G112" s="13"/>
      <c r="H112" s="13"/>
      <c r="I112" s="13"/>
      <c r="J112" s="13"/>
      <c r="K112" s="13"/>
      <c r="N112" s="3488"/>
      <c r="O112" s="3490"/>
      <c r="Z112" s="1631" t="s">
        <v>4359</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8"/>
      <c r="O113" s="3490"/>
      <c r="Z113" s="1631" t="s">
        <v>4359</v>
      </c>
      <c r="AA113" s="1633">
        <v>113</v>
      </c>
    </row>
    <row r="114" spans="1:27" ht="13.35" customHeight="1">
      <c r="A114" s="340" t="s">
        <v>3712</v>
      </c>
      <c r="B114" s="18">
        <f>SUM(B109:B113)</f>
        <v>1612806.6713410749</v>
      </c>
      <c r="C114" s="18">
        <f>SUM(C109:C113)</f>
        <v>1645062.8047678962</v>
      </c>
      <c r="D114" s="18">
        <f>SUM(D109:D113)</f>
        <v>1677964.0608632541</v>
      </c>
      <c r="E114" s="18">
        <f>SUM(E109:E113)</f>
        <v>1711523.3420805193</v>
      </c>
      <c r="F114" s="19">
        <f>SUM(F109:F113)</f>
        <v>1745753.8089221297</v>
      </c>
      <c r="G114" s="13"/>
      <c r="H114" s="13"/>
      <c r="I114" s="13"/>
      <c r="J114" s="13"/>
      <c r="K114" s="13"/>
      <c r="N114" s="3488"/>
      <c r="O114" s="3490"/>
      <c r="Z114" s="1631" t="s">
        <v>4359</v>
      </c>
      <c r="AA114" s="1633">
        <v>114</v>
      </c>
    </row>
    <row r="115" spans="1:27" ht="13.35" customHeight="1">
      <c r="A115" s="17" t="s">
        <v>571</v>
      </c>
      <c r="B115" s="18">
        <f>$B$21*(1+$B$7)^(B108-1)</f>
        <v>-1079114.7767039698</v>
      </c>
      <c r="C115" s="18">
        <f>$B$21*(1+$B$7)^(C108-1)</f>
        <v>-1111488.2200050892</v>
      </c>
      <c r="D115" s="18">
        <f>$B$21*(1+$B$7)^(D108-1)</f>
        <v>-1144832.8666052416</v>
      </c>
      <c r="E115" s="18">
        <f>$B$21*(1+$B$7)^(E108-1)</f>
        <v>-1179177.852603399</v>
      </c>
      <c r="F115" s="19">
        <f>$B$21*(1+$B$7)^(F108-1)</f>
        <v>-1214553.1881815006</v>
      </c>
      <c r="G115" s="13"/>
      <c r="H115" s="13"/>
      <c r="I115" s="13"/>
      <c r="J115" s="13"/>
      <c r="K115" s="13"/>
      <c r="N115" s="3488"/>
      <c r="O115" s="3490"/>
      <c r="Z115" s="1631" t="s">
        <v>4359</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-96768</v>
      </c>
      <c r="C116" s="18">
        <f>IF(AND('Part VI-Pro Forma'!$G$9="Yes",'Part VI-Pro Forma'!$G$10="Yes"),"Choose One!",IF('Part VI-Pro Forma'!$G$9="Yes",ROUND((-$K$9*(1+'Part VI-Pro Forma'!$B$7)^('Part VI-Pro Forma'!C108-1)),),IF('Part VI-Pro Forma'!$G$10="Yes",ROUND((-(SUM(C109:C112)*'Part VI-Pro Forma'!$K$10)),),"Choose mgt fee")))</f>
        <v>-98704</v>
      </c>
      <c r="D116" s="18">
        <f>IF(AND('Part VI-Pro Forma'!$G$9="Yes",'Part VI-Pro Forma'!$G$10="Yes"),"Choose One!",IF('Part VI-Pro Forma'!$G$9="Yes",ROUND((-$K$9*(1+'Part VI-Pro Forma'!$B$7)^('Part VI-Pro Forma'!D108-1)),),IF('Part VI-Pro Forma'!$G$10="Yes",ROUND((-(SUM(D109:D112)*'Part VI-Pro Forma'!$K$10)),),"Choose mgt fee")))</f>
        <v>-100678</v>
      </c>
      <c r="E116" s="18">
        <f>IF(AND('Part VI-Pro Forma'!$G$9="Yes",'Part VI-Pro Forma'!$G$10="Yes"),"Choose One!",IF('Part VI-Pro Forma'!$G$9="Yes",ROUND((-$K$9*(1+'Part VI-Pro Forma'!$B$7)^('Part VI-Pro Forma'!E108-1)),),IF('Part VI-Pro Forma'!$G$10="Yes",ROUND((-(SUM(E109:E112)*'Part VI-Pro Forma'!$K$10)),),"Choose mgt fee")))</f>
        <v>-102691</v>
      </c>
      <c r="F116" s="19">
        <f>IF(AND('Part VI-Pro Forma'!$G$9="Yes",'Part VI-Pro Forma'!$G$10="Yes"),"Choose One!",IF('Part VI-Pro Forma'!$G$9="Yes",ROUND((-$K$9*(1+'Part VI-Pro Forma'!$B$7)^('Part VI-Pro Forma'!F108-1)),),IF('Part VI-Pro Forma'!$G$10="Yes",ROUND((-(SUM(F109:F112)*'Part VI-Pro Forma'!$K$10)),),"Choose mgt fee")))</f>
        <v>-104745</v>
      </c>
      <c r="G116" s="13"/>
      <c r="H116" s="13"/>
      <c r="I116" s="13"/>
      <c r="J116" s="13"/>
      <c r="K116" s="13"/>
      <c r="N116" s="3488"/>
      <c r="O116" s="3490"/>
      <c r="Z116" s="1631" t="s">
        <v>4359</v>
      </c>
      <c r="AA116" s="1633">
        <v>116</v>
      </c>
    </row>
    <row r="117" spans="1:27" ht="13.35" customHeight="1">
      <c r="A117" s="17" t="s">
        <v>1127</v>
      </c>
      <c r="B117" s="18">
        <f>$B$23*(1+$B$8)^(B108-1)</f>
        <v>-52428.869377696639</v>
      </c>
      <c r="C117" s="18">
        <f>$B$23*(1+$B$8)^(C108-1)</f>
        <v>-54001.735459027543</v>
      </c>
      <c r="D117" s="18">
        <f>$B$23*(1+$B$8)^(D108-1)</f>
        <v>-55621.78752279836</v>
      </c>
      <c r="E117" s="18">
        <f>$B$23*(1+$B$8)^(E108-1)</f>
        <v>-57290.441148482314</v>
      </c>
      <c r="F117" s="19">
        <f>$B$23*(1+$B$8)^(F108-1)</f>
        <v>-59009.154382936773</v>
      </c>
      <c r="G117" s="13"/>
      <c r="H117" s="13"/>
      <c r="I117" s="13"/>
      <c r="J117" s="13"/>
      <c r="K117" s="13"/>
      <c r="N117" s="3488"/>
      <c r="O117" s="3490"/>
      <c r="Q117" s="92">
        <v>10</v>
      </c>
      <c r="R117" s="856">
        <f>-SUM(B123:K123)</f>
        <v>0</v>
      </c>
      <c r="S117" s="856">
        <f>SUM(B124:K124)+R117</f>
        <v>0</v>
      </c>
      <c r="Z117" s="1631" t="s">
        <v>4359</v>
      </c>
      <c r="AA117" s="1633">
        <v>117</v>
      </c>
    </row>
    <row r="118" spans="1:27" ht="13.35" customHeight="1">
      <c r="A118" s="340" t="s">
        <v>3711</v>
      </c>
      <c r="B118" s="1223">
        <v>-15000</v>
      </c>
      <c r="C118" s="1223">
        <v>-15000</v>
      </c>
      <c r="D118" s="1223">
        <v>-15000</v>
      </c>
      <c r="E118" s="1223">
        <v>-15000</v>
      </c>
      <c r="F118" s="1223">
        <v>-15000</v>
      </c>
      <c r="G118" s="13"/>
      <c r="H118" s="13"/>
      <c r="I118" s="13"/>
      <c r="J118" s="13"/>
      <c r="K118" s="13"/>
      <c r="N118" s="3488"/>
      <c r="O118" s="3490"/>
      <c r="Z118" s="1631" t="s">
        <v>4359</v>
      </c>
      <c r="AA118" s="1633">
        <v>118</v>
      </c>
    </row>
    <row r="119" spans="1:27" ht="13.35" customHeight="1">
      <c r="A119" s="17" t="s">
        <v>1128</v>
      </c>
      <c r="B119" s="18">
        <f>SUM(B114:B118)</f>
        <v>369495.0252594084</v>
      </c>
      <c r="C119" s="18">
        <f>SUM(C114:C118)</f>
        <v>365868.84930377948</v>
      </c>
      <c r="D119" s="18">
        <f>SUM(D114:D118)</f>
        <v>361831.40673521423</v>
      </c>
      <c r="E119" s="18">
        <f>SUM(E114:E118)</f>
        <v>357364.04832863802</v>
      </c>
      <c r="F119" s="1156">
        <f>SUM(F114:F118)</f>
        <v>352446.46635769226</v>
      </c>
      <c r="G119" s="13"/>
      <c r="H119" s="13"/>
      <c r="I119" s="13"/>
      <c r="J119" s="13"/>
      <c r="K119" s="13"/>
      <c r="N119" s="3488"/>
      <c r="O119" s="3490"/>
      <c r="Z119" s="1631" t="s">
        <v>4359</v>
      </c>
      <c r="AA119" s="1633">
        <v>119</v>
      </c>
    </row>
    <row r="120" spans="1:27" ht="13.35" customHeight="1">
      <c r="A120" s="17" t="str">
        <f>$A90</f>
        <v>Mortgage A</v>
      </c>
      <c r="B120" s="341">
        <f>IF('Part II-Sources of Funds'!$P$40="", 0,-'Part II-Sources of Funds'!$P$40)</f>
        <v>-300978.66166959668</v>
      </c>
      <c r="C120" s="341">
        <f>IF('Part II-Sources of Funds'!$P$40="", 0,-'Part II-Sources of Funds'!$P$40)</f>
        <v>-300978.66166959668</v>
      </c>
      <c r="D120" s="341">
        <f>IF('Part II-Sources of Funds'!$P$40="", 0,-'Part II-Sources of Funds'!$P$40)</f>
        <v>-300978.66166959668</v>
      </c>
      <c r="E120" s="341">
        <f>IF('Part II-Sources of Funds'!$P$40="", 0,-'Part II-Sources of Funds'!$P$40)</f>
        <v>-300978.66166959668</v>
      </c>
      <c r="F120" s="341">
        <f>IF('Part II-Sources of Funds'!$P$40="", 0,-'Part II-Sources of Funds'!$P$40)</f>
        <v>-300978.66166959668</v>
      </c>
      <c r="G120" s="13"/>
      <c r="H120" s="13"/>
      <c r="I120" s="13"/>
      <c r="J120" s="13"/>
      <c r="K120" s="13"/>
      <c r="N120" s="3488"/>
      <c r="O120" s="3490"/>
      <c r="Z120" s="1631" t="s">
        <v>4359</v>
      </c>
      <c r="AA120" s="1633">
        <v>120</v>
      </c>
    </row>
    <row r="121" spans="1:27" ht="13.35" customHeight="1">
      <c r="A121" s="17" t="str">
        <f>$A91</f>
        <v>Mortgage B</v>
      </c>
      <c r="B121" s="178">
        <v>-12577.973763972317</v>
      </c>
      <c r="C121" s="178">
        <v>-11534.896261060669</v>
      </c>
      <c r="D121" s="178">
        <v>-10384.906099494794</v>
      </c>
      <c r="E121" s="178">
        <v>-9123.2180928434536</v>
      </c>
      <c r="F121" s="178">
        <v>-7744.6287429495133</v>
      </c>
      <c r="G121" s="13"/>
      <c r="H121" s="13"/>
      <c r="I121" s="13"/>
      <c r="J121" s="13"/>
      <c r="K121" s="13"/>
      <c r="N121" s="3488"/>
      <c r="O121" s="3490"/>
      <c r="Z121" s="1631" t="s">
        <v>4359</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8"/>
      <c r="O122" s="3490"/>
      <c r="Z122" s="1631" t="s">
        <v>4359</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8"/>
      <c r="O123" s="3490"/>
      <c r="Z123" s="1631" t="s">
        <v>4359</v>
      </c>
      <c r="AA123" s="1633">
        <v>123</v>
      </c>
    </row>
    <row r="124" spans="1:27" ht="13.35" customHeight="1">
      <c r="A124" s="17" t="s">
        <v>710</v>
      </c>
      <c r="B124" s="138"/>
      <c r="C124" s="138"/>
      <c r="D124" s="138"/>
      <c r="E124" s="138"/>
      <c r="F124" s="138"/>
      <c r="G124" s="13"/>
      <c r="H124" s="13"/>
      <c r="I124" s="13"/>
      <c r="J124" s="13"/>
      <c r="K124" s="13"/>
      <c r="N124" s="3488"/>
      <c r="O124" s="3490"/>
      <c r="Z124" s="1631" t="s">
        <v>4359</v>
      </c>
      <c r="AA124" s="1633">
        <v>124</v>
      </c>
    </row>
    <row r="125" spans="1:27" ht="13.35" customHeight="1">
      <c r="A125" s="17" t="s">
        <v>1094</v>
      </c>
      <c r="B125" s="179">
        <f>K95*1.03</f>
        <v>-18204.468533922467</v>
      </c>
      <c r="C125" s="179">
        <f>B125*1.03</f>
        <v>-18750.602589940143</v>
      </c>
      <c r="D125" s="179">
        <f t="shared" ref="D125:F125" si="48">C125*1.03</f>
        <v>-19313.120667638348</v>
      </c>
      <c r="E125" s="179">
        <f t="shared" si="48"/>
        <v>-19892.514287667498</v>
      </c>
      <c r="F125" s="179">
        <f t="shared" si="48"/>
        <v>-20489.289716297524</v>
      </c>
      <c r="G125" s="13"/>
      <c r="H125" s="13"/>
      <c r="I125" s="13"/>
      <c r="J125" s="13"/>
      <c r="K125" s="13"/>
      <c r="N125" s="3488"/>
      <c r="O125" s="3490"/>
      <c r="Z125" s="1631" t="s">
        <v>4359</v>
      </c>
      <c r="AA125" s="1633">
        <v>125</v>
      </c>
    </row>
    <row r="126" spans="1:27" ht="13.35" customHeight="1">
      <c r="A126" s="17" t="s">
        <v>1095</v>
      </c>
      <c r="B126" s="18">
        <f>SUM(B119:B125)</f>
        <v>37733.921291916937</v>
      </c>
      <c r="C126" s="18">
        <f>SUM(C119:C125)</f>
        <v>34604.688783181991</v>
      </c>
      <c r="D126" s="18">
        <f>SUM(D119:D125)</f>
        <v>31154.718298484408</v>
      </c>
      <c r="E126" s="18">
        <f>SUM(E119:E125)</f>
        <v>27369.654278530386</v>
      </c>
      <c r="F126" s="19">
        <f>SUM(F119:F125)</f>
        <v>23233.886228848543</v>
      </c>
      <c r="G126" s="13"/>
      <c r="H126" s="13"/>
      <c r="I126" s="13"/>
      <c r="J126" s="13"/>
      <c r="K126" s="13"/>
      <c r="N126" s="3488"/>
      <c r="O126" s="3490"/>
      <c r="Z126" s="1631" t="s">
        <v>4359</v>
      </c>
      <c r="AA126" s="1633">
        <v>126</v>
      </c>
    </row>
    <row r="127" spans="1:27" ht="13.35" customHeight="1">
      <c r="A127" s="17" t="str">
        <f>$A97</f>
        <v>DCR Mortgage A</v>
      </c>
      <c r="B127" s="20">
        <f>IF(B120=0,"",-B119/B120)</f>
        <v>1.2276452530213802</v>
      </c>
      <c r="C127" s="20">
        <f>IF(C120=0,"",-C119/C120)</f>
        <v>1.2155973027264533</v>
      </c>
      <c r="D127" s="20">
        <f>IF(D120=0,"",-D119/D120)</f>
        <v>1.2021829213009774</v>
      </c>
      <c r="E127" s="20">
        <f>IF(E120=0,"",-E119/E120)</f>
        <v>1.1873401467939915</v>
      </c>
      <c r="F127" s="21">
        <f>IF(F120=0,"",-F119/F120)</f>
        <v>1.1710015068928543</v>
      </c>
      <c r="G127" s="13"/>
      <c r="H127" s="13"/>
      <c r="I127" s="13"/>
      <c r="J127" s="13"/>
      <c r="K127" s="13"/>
      <c r="N127" s="3488"/>
      <c r="O127" s="3490"/>
      <c r="Z127" s="1631" t="s">
        <v>4359</v>
      </c>
      <c r="AA127" s="1633">
        <v>127</v>
      </c>
    </row>
    <row r="128" spans="1:27" ht="13.35" customHeight="1">
      <c r="A128" s="17" t="str">
        <f>$A98</f>
        <v>DCR Mortgage B</v>
      </c>
      <c r="B128" s="20">
        <f>IF(B121=0,"",-(B119+B120)/B121)</f>
        <v>5.4473291863643709</v>
      </c>
      <c r="C128" s="20">
        <f>IF(C121=0,"",-(C119+C120)/C121)</f>
        <v>5.6255545056992089</v>
      </c>
      <c r="D128" s="20">
        <f>IF(D121=0,"",-(D119+D120)/D121)</f>
        <v>5.8597299275125767</v>
      </c>
      <c r="E128" s="20">
        <f>IF(E121=0,"",-(E119+E120)/E121)</f>
        <v>6.1804273541670405</v>
      </c>
      <c r="F128" s="21">
        <f>IF(F121=0,"",-(F119+F120)/F121)</f>
        <v>6.6456129010638998</v>
      </c>
      <c r="G128" s="13"/>
      <c r="H128" s="13"/>
      <c r="I128" s="13"/>
      <c r="J128" s="13"/>
      <c r="K128" s="13"/>
      <c r="N128" s="3488"/>
      <c r="O128" s="3490"/>
      <c r="Z128" s="1631" t="s">
        <v>4359</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8"/>
      <c r="O129" s="3490"/>
      <c r="Z129" s="1631" t="s">
        <v>4359</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8"/>
      <c r="O130" s="3490"/>
      <c r="Z130" s="1631" t="s">
        <v>4359</v>
      </c>
      <c r="AA130" s="1633">
        <v>130</v>
      </c>
    </row>
    <row r="131" spans="1:27" ht="13.35" customHeight="1">
      <c r="A131" s="340" t="s">
        <v>3128</v>
      </c>
      <c r="B131" s="20">
        <f>IF(AND(B120=0,B121=0,B122=0,B123=0),"",-B119/(B120+B121+B122+B123))</f>
        <v>1.1783996366349923</v>
      </c>
      <c r="C131" s="20">
        <f>IF(AND(C120=0,C121=0,C122=0,C123=0),"",-C119/(C120+C121+C122+C123))</f>
        <v>1.1707295252289853</v>
      </c>
      <c r="D131" s="20">
        <f>IF(AND(D120=0,D121=0,D122=0,D123=0),"",-D119/(D120+D121+D122+D123))</f>
        <v>1.1620865258184283</v>
      </c>
      <c r="E131" s="20">
        <f>IF(AND(E120=0,E121=0,E122=0,E123=0),"",-E119/(E120+E121+E122+E123))</f>
        <v>1.1524085200721907</v>
      </c>
      <c r="F131" s="21">
        <f>IF(AND(F120=0,F121=0,F122=0,F123=0),"",-F119/(F120+F121+F122+F123))</f>
        <v>1.1416257772023577</v>
      </c>
      <c r="G131" s="13"/>
      <c r="H131" s="13"/>
      <c r="I131" s="13"/>
      <c r="J131" s="13"/>
      <c r="K131" s="13"/>
      <c r="N131" s="3488"/>
      <c r="O131" s="3490"/>
      <c r="Z131" s="1631" t="s">
        <v>4359</v>
      </c>
      <c r="AA131" s="1633">
        <v>131</v>
      </c>
    </row>
    <row r="132" spans="1:27" ht="13.35" customHeight="1">
      <c r="A132" s="17" t="s">
        <v>717</v>
      </c>
      <c r="B132" s="220">
        <f>IF(OR(B116="Choose mgt fee",B116="Choose One!"),"",(B109+B110+B111+B112+B113) / -(B115+B116+B117))</f>
        <v>1.3130272569554751</v>
      </c>
      <c r="C132" s="220">
        <f>IF(OR(C116="Choose mgt fee",C116="Choose One!"),"",(C109+C110+C111+C112+C113) / -(C115+C116+C117))</f>
        <v>1.3012740629375601</v>
      </c>
      <c r="D132" s="220">
        <f>IF(OR(D116="Choose mgt fee",D116="Choose One!"),"",(D109+D110+D111+D112+D113) / -(D115+D116+D117))</f>
        <v>1.289617976721789</v>
      </c>
      <c r="E132" s="220">
        <f>IF(OR(E116="Choose mgt fee",E116="Choose One!"),"",(E109+E110+E111+E112+E113) / -(E115+E116+E117))</f>
        <v>1.2780580697650965</v>
      </c>
      <c r="F132" s="497">
        <f>IF(OR(F116="Choose mgt fee",F116="Choose One!"),"",(F109+F110+F111+F112+F113) / -(F115+F116+F117))</f>
        <v>1.2665925479828266</v>
      </c>
      <c r="G132" s="13"/>
      <c r="H132" s="13"/>
      <c r="I132" s="13"/>
      <c r="J132" s="13"/>
      <c r="K132" s="13"/>
      <c r="N132" s="3488"/>
      <c r="O132" s="3490"/>
      <c r="Z132" s="1631" t="s">
        <v>4359</v>
      </c>
      <c r="AA132" s="1633">
        <v>132</v>
      </c>
    </row>
    <row r="133" spans="1:27" ht="13.35" customHeight="1">
      <c r="A133" s="340" t="s">
        <v>2399</v>
      </c>
      <c r="B133" s="177">
        <f>IF('Part II-Sources of Funds'!$I$40="","",-FV('Part II-Sources of Funds'!$K$40/12,12,B120/12,K103))</f>
        <v>1043363.0792198076</v>
      </c>
      <c r="C133" s="177">
        <f>IF('Part II-Sources of Funds'!$I$40="","",-FV('Part II-Sources of Funds'!$K$40/12,12,C120/12,B133))</f>
        <v>809902.19695560308</v>
      </c>
      <c r="D133" s="177">
        <f>IF('Part II-Sources of Funds'!$I$40="","",-FV('Part II-Sources of Funds'!$K$40/12,12,D120/12,C133))</f>
        <v>559066.18283325888</v>
      </c>
      <c r="E133" s="177">
        <f>IF('Part II-Sources of Funds'!$I$40="","",-FV('Part II-Sources of Funds'!$K$40/12,12,E120/12,D133))</f>
        <v>289561.9071251743</v>
      </c>
      <c r="F133" s="177">
        <f>IF('Part II-Sources of Funds'!$I$40="","",-FV('Part II-Sources of Funds'!$K$40/12,12,F120/12,E133))</f>
        <v>1.5425030142068863E-8</v>
      </c>
      <c r="G133" s="13"/>
      <c r="H133" s="13"/>
      <c r="I133" s="13"/>
      <c r="J133" s="13"/>
      <c r="K133" s="13"/>
      <c r="N133" s="3488"/>
      <c r="O133" s="3490"/>
      <c r="Z133" s="1631" t="s">
        <v>4359</v>
      </c>
      <c r="AA133" s="1633">
        <v>133</v>
      </c>
    </row>
    <row r="134" spans="1:27" ht="13.35" customHeight="1">
      <c r="A134" s="340" t="s">
        <v>2400</v>
      </c>
      <c r="B134" s="178">
        <f>IF('Part II-Sources of Funds'!$I$41="","",-FV('Part II-Sources of Funds'!$K$41/12,12,B121/12,K104))</f>
        <v>5582200.8470100956</v>
      </c>
      <c r="C134" s="178">
        <f>IF('Part II-Sources of Funds'!$I$41="","",-FV('Part II-Sources of Funds'!$K$41/12,12,C121/12,B134))</f>
        <v>5829776.74460511</v>
      </c>
      <c r="D134" s="178">
        <f>IF('Part II-Sources of Funds'!$I$41="","",-FV('Part II-Sources of Funds'!$K$41/12,12,D121/12,C134))</f>
        <v>6090029.534059762</v>
      </c>
      <c r="E134" s="178">
        <f>IF('Part II-Sources of Funds'!$I$41="","",-FV('Part II-Sources of Funds'!$K$41/12,12,E121/12,D134))</f>
        <v>6363662.2528449446</v>
      </c>
      <c r="F134" s="178">
        <f>IF('Part II-Sources of Funds'!$I$41="","",-FV('Part II-Sources of Funds'!$K$41/12,12,F121/12,E134))</f>
        <v>6651415.9156234944</v>
      </c>
      <c r="G134" s="13"/>
      <c r="H134" s="13"/>
      <c r="I134" s="13"/>
      <c r="J134" s="13"/>
      <c r="K134" s="13"/>
      <c r="N134" s="3488"/>
      <c r="O134" s="3490"/>
      <c r="Z134" s="1631" t="s">
        <v>4359</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8"/>
      <c r="O135" s="3490"/>
      <c r="Z135" s="1631" t="s">
        <v>4359</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4359</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5" t="s">
        <v>5212</v>
      </c>
      <c r="B140" s="3568"/>
      <c r="C140" s="3568"/>
      <c r="D140" s="3568"/>
      <c r="E140" s="3568"/>
      <c r="F140" s="3569"/>
      <c r="G140" s="3570"/>
      <c r="H140" s="3571"/>
      <c r="I140" s="3571"/>
      <c r="J140" s="3571"/>
      <c r="K140" s="3572"/>
      <c r="N140" s="3086" t="s">
        <v>2445</v>
      </c>
      <c r="O140" s="3086"/>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70" zoomScale="120" zoomScaleNormal="120" workbookViewId="0">
      <selection activeCell="S86" sqref="S86"/>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9" t="str">
        <f>CONCATENATE("PART SEVEN - THRESHOLD CRITERIA","  -  ",'Part I-Project Identification'!$O$7," ",'Part I-Project Identification'!$F$26,", ",'Part I-Project Identification'!F27,", ",'Part I-Project Identification'!J27," County")</f>
        <v>PART SEVEN - THRESHOLD CRITERIA  -  2024-0 Wesley Square, Norcross, Gwinnett County</v>
      </c>
      <c r="B1" s="3739"/>
      <c r="C1" s="3739"/>
      <c r="D1" s="3739"/>
      <c r="E1" s="3739"/>
      <c r="F1" s="3739"/>
      <c r="G1" s="3739"/>
      <c r="H1" s="3739"/>
      <c r="I1" s="3739"/>
      <c r="J1" s="3739"/>
      <c r="K1" s="3739"/>
      <c r="L1" s="3739"/>
      <c r="M1" s="3739"/>
      <c r="N1" s="3739"/>
      <c r="O1" s="3739"/>
      <c r="P1" s="3739"/>
      <c r="Q1" s="3739"/>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4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0"/>
      <c r="C3" s="3740"/>
      <c r="D3" s="3740"/>
      <c r="E3" s="3740"/>
      <c r="F3" s="3740"/>
      <c r="G3" s="3740"/>
      <c r="H3" s="374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0"/>
      <c r="J3" s="3740"/>
      <c r="K3" s="3740"/>
      <c r="L3" s="3740"/>
      <c r="M3" s="3740"/>
      <c r="N3" s="3740"/>
      <c r="O3" s="1918"/>
      <c r="P3" s="3741" t="s">
        <v>4650</v>
      </c>
      <c r="Q3" s="3743" t="s">
        <v>4424</v>
      </c>
      <c r="R3" s="2052"/>
      <c r="S3" s="2052"/>
      <c r="T3" s="2052"/>
      <c r="U3" s="2052"/>
      <c r="V3" s="2052"/>
      <c r="W3" s="2052"/>
      <c r="X3" s="2052"/>
      <c r="Y3" s="2052"/>
      <c r="Z3" s="2052"/>
      <c r="AA3" s="2492">
        <v>3</v>
      </c>
      <c r="AB3" s="2052"/>
    </row>
    <row r="4" spans="1:28" s="1917" customFormat="1" ht="12.75">
      <c r="A4" s="1919"/>
      <c r="B4" s="3745"/>
      <c r="C4" s="3745"/>
      <c r="D4" s="3745"/>
      <c r="E4" s="1919"/>
      <c r="F4" s="1919"/>
      <c r="G4" s="1919"/>
      <c r="H4" s="1919"/>
      <c r="I4" s="1918"/>
      <c r="J4" s="1920"/>
      <c r="K4" s="1919"/>
      <c r="L4" s="1919"/>
      <c r="M4" s="1919"/>
      <c r="N4" s="1919"/>
      <c r="O4" s="1918"/>
      <c r="P4" s="3741"/>
      <c r="Q4" s="3743"/>
      <c r="R4" s="2052"/>
      <c r="S4" s="2052"/>
      <c r="T4" s="2052"/>
      <c r="U4" s="2052"/>
      <c r="V4" s="2052"/>
      <c r="W4" s="2052"/>
      <c r="X4" s="2052"/>
      <c r="Y4" s="2052"/>
      <c r="Z4" s="2052"/>
      <c r="AA4" s="2492">
        <v>4</v>
      </c>
      <c r="AB4" s="2052"/>
    </row>
    <row r="5" spans="1:28" s="1917" customFormat="1" ht="12.75">
      <c r="A5" s="1918"/>
      <c r="B5" s="1918"/>
      <c r="C5" s="1918"/>
      <c r="D5" s="1918"/>
      <c r="E5" s="3746" t="str">
        <f>'Part I-Project Identification'!$A$6</f>
        <v>2024 May 7</v>
      </c>
      <c r="F5" s="3746"/>
      <c r="G5" s="3746"/>
      <c r="H5" s="3746"/>
      <c r="I5" s="3746"/>
      <c r="J5" s="1920"/>
      <c r="K5" s="1919"/>
      <c r="L5" s="1919"/>
      <c r="M5" s="1919"/>
      <c r="N5" s="1919"/>
      <c r="O5" s="1918"/>
      <c r="P5" s="3742"/>
      <c r="Q5" s="3744"/>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3" t="s">
        <v>4651</v>
      </c>
      <c r="B7" s="3733"/>
      <c r="C7" s="3733"/>
      <c r="D7" s="3733"/>
      <c r="E7" s="3733"/>
      <c r="F7" s="3733"/>
      <c r="G7" s="3733"/>
      <c r="H7" s="3733"/>
      <c r="I7" s="3733"/>
      <c r="J7" s="3733"/>
      <c r="K7" s="3733"/>
      <c r="L7" s="3733"/>
      <c r="M7" s="3733"/>
      <c r="N7" s="3733"/>
      <c r="O7" s="3733"/>
      <c r="P7" s="3733"/>
      <c r="Q7" s="373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4652</v>
      </c>
      <c r="B9" s="1925"/>
      <c r="C9" s="1925"/>
      <c r="D9" s="1925"/>
      <c r="E9" s="1925"/>
      <c r="F9" s="1925"/>
      <c r="G9" s="1925"/>
      <c r="H9" s="1925"/>
      <c r="I9" s="1926"/>
      <c r="J9" s="1926"/>
      <c r="K9" s="1927"/>
      <c r="L9" s="1927"/>
      <c r="M9" s="1927"/>
      <c r="N9" s="1927"/>
      <c r="O9" s="1927"/>
      <c r="P9" s="3734"/>
      <c r="Q9" s="373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6" t="s">
        <v>1327</v>
      </c>
      <c r="B11" s="3737"/>
      <c r="C11" s="3737"/>
      <c r="D11" s="3737"/>
      <c r="E11" s="3737"/>
      <c r="F11" s="3737"/>
      <c r="G11" s="3737"/>
      <c r="H11" s="3737"/>
      <c r="I11" s="3737"/>
      <c r="J11" s="3737"/>
      <c r="K11" s="3737"/>
      <c r="L11" s="3737"/>
      <c r="M11" s="3737"/>
      <c r="N11" s="3737"/>
      <c r="O11" s="3737"/>
      <c r="P11" s="3737"/>
      <c r="Q11" s="3738"/>
      <c r="R11" s="2053"/>
      <c r="S11" s="2053"/>
      <c r="T11" s="2053"/>
      <c r="U11" s="2053"/>
      <c r="V11" s="2053"/>
      <c r="W11" s="2053"/>
      <c r="X11" s="2053"/>
      <c r="Y11" s="2053"/>
      <c r="Z11" s="2053"/>
      <c r="AA11" s="2492">
        <v>11</v>
      </c>
      <c r="AB11" s="2053"/>
    </row>
    <row r="12" spans="1:28" s="1928" customFormat="1">
      <c r="A12" s="3725" t="s">
        <v>218</v>
      </c>
      <c r="B12" s="3726"/>
      <c r="C12" s="3726"/>
      <c r="D12" s="3726"/>
      <c r="E12" s="3726"/>
      <c r="F12" s="3726"/>
      <c r="G12" s="3726"/>
      <c r="H12" s="3726"/>
      <c r="I12" s="3726"/>
      <c r="J12" s="3726"/>
      <c r="K12" s="3726"/>
      <c r="L12" s="3726"/>
      <c r="M12" s="3726"/>
      <c r="N12" s="3726"/>
      <c r="O12" s="3726"/>
      <c r="P12" s="3726"/>
      <c r="Q12" s="3727"/>
      <c r="R12" s="2053"/>
      <c r="S12" s="2053"/>
      <c r="T12" s="2053"/>
      <c r="U12" s="2053"/>
      <c r="V12" s="2053"/>
      <c r="W12" s="2053"/>
      <c r="X12" s="2053"/>
      <c r="Y12" s="2053"/>
      <c r="Z12" s="2053"/>
      <c r="AA12" s="2492">
        <v>12</v>
      </c>
      <c r="AB12" s="2053"/>
    </row>
    <row r="13" spans="1:28" s="1928" customFormat="1">
      <c r="A13" s="3725" t="s">
        <v>1323</v>
      </c>
      <c r="B13" s="3726"/>
      <c r="C13" s="3726"/>
      <c r="D13" s="3726"/>
      <c r="E13" s="3726"/>
      <c r="F13" s="3726"/>
      <c r="G13" s="3726"/>
      <c r="H13" s="3726"/>
      <c r="I13" s="3726"/>
      <c r="J13" s="3726"/>
      <c r="K13" s="3726"/>
      <c r="L13" s="3726"/>
      <c r="M13" s="3726"/>
      <c r="N13" s="3726"/>
      <c r="O13" s="3726"/>
      <c r="P13" s="3726"/>
      <c r="Q13" s="3727"/>
      <c r="R13" s="2053"/>
      <c r="S13" s="2053"/>
      <c r="T13" s="2053"/>
      <c r="U13" s="2053"/>
      <c r="V13" s="2053"/>
      <c r="W13" s="2053"/>
      <c r="X13" s="2053"/>
      <c r="Y13" s="2053"/>
      <c r="Z13" s="2053"/>
      <c r="AA13" s="2492">
        <v>13</v>
      </c>
      <c r="AB13" s="2053"/>
    </row>
    <row r="14" spans="1:28" s="1928" customFormat="1">
      <c r="A14" s="3725" t="s">
        <v>1324</v>
      </c>
      <c r="B14" s="3726"/>
      <c r="C14" s="3726"/>
      <c r="D14" s="3726"/>
      <c r="E14" s="3726"/>
      <c r="F14" s="3726"/>
      <c r="G14" s="3726"/>
      <c r="H14" s="3726"/>
      <c r="I14" s="3726"/>
      <c r="J14" s="3726"/>
      <c r="K14" s="3726"/>
      <c r="L14" s="3726"/>
      <c r="M14" s="3726"/>
      <c r="N14" s="3726"/>
      <c r="O14" s="3726"/>
      <c r="P14" s="3726"/>
      <c r="Q14" s="3727"/>
      <c r="R14" s="2053"/>
      <c r="S14" s="2053"/>
      <c r="T14" s="2053"/>
      <c r="U14" s="2053"/>
      <c r="V14" s="2053"/>
      <c r="W14" s="2053"/>
      <c r="X14" s="2053"/>
      <c r="Y14" s="2053"/>
      <c r="Z14" s="2053"/>
      <c r="AA14" s="2492">
        <v>14</v>
      </c>
      <c r="AB14" s="2053"/>
    </row>
    <row r="15" spans="1:28" s="1928" customFormat="1">
      <c r="A15" s="3725" t="s">
        <v>1325</v>
      </c>
      <c r="B15" s="3726"/>
      <c r="C15" s="3726"/>
      <c r="D15" s="3726"/>
      <c r="E15" s="3726"/>
      <c r="F15" s="3726"/>
      <c r="G15" s="3726"/>
      <c r="H15" s="3726"/>
      <c r="I15" s="3726"/>
      <c r="J15" s="3726"/>
      <c r="K15" s="3726"/>
      <c r="L15" s="3726"/>
      <c r="M15" s="3726"/>
      <c r="N15" s="3726"/>
      <c r="O15" s="3726"/>
      <c r="P15" s="3726"/>
      <c r="Q15" s="3727"/>
      <c r="R15" s="2053"/>
      <c r="S15" s="2053"/>
      <c r="T15" s="2053"/>
      <c r="U15" s="2053"/>
      <c r="V15" s="2053"/>
      <c r="W15" s="2053"/>
      <c r="X15" s="2053"/>
      <c r="Y15" s="2053"/>
      <c r="Z15" s="2053"/>
      <c r="AA15" s="2492">
        <v>15</v>
      </c>
      <c r="AB15" s="2053"/>
    </row>
    <row r="16" spans="1:28" s="1928" customFormat="1">
      <c r="A16" s="3725" t="s">
        <v>1326</v>
      </c>
      <c r="B16" s="3726"/>
      <c r="C16" s="3726"/>
      <c r="D16" s="3726"/>
      <c r="E16" s="3726"/>
      <c r="F16" s="3726"/>
      <c r="G16" s="3726"/>
      <c r="H16" s="3726"/>
      <c r="I16" s="3726"/>
      <c r="J16" s="3726"/>
      <c r="K16" s="3726"/>
      <c r="L16" s="3726"/>
      <c r="M16" s="3726"/>
      <c r="N16" s="3726"/>
      <c r="O16" s="3726"/>
      <c r="P16" s="3726"/>
      <c r="Q16" s="3727"/>
      <c r="R16" s="2053"/>
      <c r="S16" s="2053"/>
      <c r="T16" s="2053"/>
      <c r="U16" s="2053"/>
      <c r="V16" s="2053"/>
      <c r="W16" s="2053"/>
      <c r="X16" s="2053"/>
      <c r="Y16" s="2053"/>
      <c r="Z16" s="2053"/>
      <c r="AA16" s="2492">
        <v>16</v>
      </c>
      <c r="AB16" s="2053"/>
    </row>
    <row r="17" spans="1:28" s="1928" customFormat="1">
      <c r="A17" s="3725" t="s">
        <v>1328</v>
      </c>
      <c r="B17" s="3726"/>
      <c r="C17" s="3726"/>
      <c r="D17" s="3726"/>
      <c r="E17" s="3726"/>
      <c r="F17" s="3726"/>
      <c r="G17" s="3726"/>
      <c r="H17" s="3726"/>
      <c r="I17" s="3726"/>
      <c r="J17" s="3726"/>
      <c r="K17" s="3726"/>
      <c r="L17" s="3726"/>
      <c r="M17" s="3726"/>
      <c r="N17" s="3726"/>
      <c r="O17" s="3726"/>
      <c r="P17" s="3726"/>
      <c r="Q17" s="3727"/>
      <c r="R17" s="2053"/>
      <c r="S17" s="2053"/>
      <c r="T17" s="2053"/>
      <c r="U17" s="2053"/>
      <c r="V17" s="2053"/>
      <c r="W17" s="2053"/>
      <c r="X17" s="2053"/>
      <c r="Y17" s="2053"/>
      <c r="Z17" s="2053"/>
      <c r="AA17" s="2492">
        <v>17</v>
      </c>
      <c r="AB17" s="2053"/>
    </row>
    <row r="18" spans="1:28" s="1928" customFormat="1">
      <c r="A18" s="3725" t="s">
        <v>1867</v>
      </c>
      <c r="B18" s="3726"/>
      <c r="C18" s="3726"/>
      <c r="D18" s="3726"/>
      <c r="E18" s="3726"/>
      <c r="F18" s="3726"/>
      <c r="G18" s="3726"/>
      <c r="H18" s="3726"/>
      <c r="I18" s="3726"/>
      <c r="J18" s="3726"/>
      <c r="K18" s="3726"/>
      <c r="L18" s="3726"/>
      <c r="M18" s="3726"/>
      <c r="N18" s="3726"/>
      <c r="O18" s="3726"/>
      <c r="P18" s="3726"/>
      <c r="Q18" s="3727"/>
      <c r="R18" s="2053"/>
      <c r="S18" s="2053"/>
      <c r="T18" s="2053"/>
      <c r="U18" s="2053"/>
      <c r="V18" s="2053"/>
      <c r="W18" s="2053"/>
      <c r="X18" s="2053"/>
      <c r="Y18" s="2053"/>
      <c r="Z18" s="2053"/>
      <c r="AA18" s="2493">
        <v>18</v>
      </c>
      <c r="AB18" s="2053"/>
    </row>
    <row r="19" spans="1:28" s="1928" customFormat="1">
      <c r="A19" s="3725" t="s">
        <v>1868</v>
      </c>
      <c r="B19" s="3726"/>
      <c r="C19" s="3726"/>
      <c r="D19" s="3726"/>
      <c r="E19" s="3726"/>
      <c r="F19" s="3726"/>
      <c r="G19" s="3726"/>
      <c r="H19" s="3726"/>
      <c r="I19" s="3726"/>
      <c r="J19" s="3726"/>
      <c r="K19" s="3726"/>
      <c r="L19" s="3726"/>
      <c r="M19" s="3726"/>
      <c r="N19" s="3726"/>
      <c r="O19" s="3726"/>
      <c r="P19" s="3726"/>
      <c r="Q19" s="3727"/>
      <c r="R19" s="2053"/>
      <c r="S19" s="2053"/>
      <c r="T19" s="2053"/>
      <c r="U19" s="2053"/>
      <c r="V19" s="2053"/>
      <c r="W19" s="2053"/>
      <c r="X19" s="2053"/>
      <c r="Y19" s="2053"/>
      <c r="Z19" s="2053"/>
      <c r="AA19" s="2492">
        <v>19</v>
      </c>
      <c r="AB19" s="2053"/>
    </row>
    <row r="20" spans="1:28" s="1928" customFormat="1">
      <c r="A20" s="3725" t="s">
        <v>1869</v>
      </c>
      <c r="B20" s="3726"/>
      <c r="C20" s="3726"/>
      <c r="D20" s="3726"/>
      <c r="E20" s="3726"/>
      <c r="F20" s="3726"/>
      <c r="G20" s="3726"/>
      <c r="H20" s="3726"/>
      <c r="I20" s="3726"/>
      <c r="J20" s="3726"/>
      <c r="K20" s="3726"/>
      <c r="L20" s="3726"/>
      <c r="M20" s="3726"/>
      <c r="N20" s="3726"/>
      <c r="O20" s="3726"/>
      <c r="P20" s="3726"/>
      <c r="Q20" s="3727"/>
      <c r="R20" s="2053"/>
      <c r="S20" s="2053"/>
      <c r="T20" s="2053"/>
      <c r="U20" s="2053"/>
      <c r="V20" s="2053"/>
      <c r="W20" s="2053"/>
      <c r="X20" s="2053"/>
      <c r="Y20" s="2053"/>
      <c r="Z20" s="2053"/>
      <c r="AA20" s="2492">
        <v>20</v>
      </c>
      <c r="AB20" s="2053"/>
    </row>
    <row r="21" spans="1:28" s="1928" customFormat="1">
      <c r="A21" s="3725" t="s">
        <v>1870</v>
      </c>
      <c r="B21" s="3726"/>
      <c r="C21" s="3726"/>
      <c r="D21" s="3726"/>
      <c r="E21" s="3726"/>
      <c r="F21" s="3726"/>
      <c r="G21" s="3726"/>
      <c r="H21" s="3726"/>
      <c r="I21" s="3726"/>
      <c r="J21" s="3726"/>
      <c r="K21" s="3726"/>
      <c r="L21" s="3726"/>
      <c r="M21" s="3726"/>
      <c r="N21" s="3726"/>
      <c r="O21" s="3726"/>
      <c r="P21" s="3726"/>
      <c r="Q21" s="3727"/>
      <c r="R21" s="2053"/>
      <c r="S21" s="2053"/>
      <c r="T21" s="2053"/>
      <c r="U21" s="2053"/>
      <c r="V21" s="2053"/>
      <c r="W21" s="2053"/>
      <c r="X21" s="2053"/>
      <c r="Y21" s="2053"/>
      <c r="Z21" s="2053"/>
      <c r="AA21" s="2492">
        <v>21</v>
      </c>
      <c r="AB21" s="2053"/>
    </row>
    <row r="22" spans="1:28" s="1928" customFormat="1">
      <c r="A22" s="3725" t="s">
        <v>1871</v>
      </c>
      <c r="B22" s="3726"/>
      <c r="C22" s="3726"/>
      <c r="D22" s="3726"/>
      <c r="E22" s="3726"/>
      <c r="F22" s="3726"/>
      <c r="G22" s="3726"/>
      <c r="H22" s="3726"/>
      <c r="I22" s="3726"/>
      <c r="J22" s="3726"/>
      <c r="K22" s="3726"/>
      <c r="L22" s="3726"/>
      <c r="M22" s="3726"/>
      <c r="N22" s="3726"/>
      <c r="O22" s="3726"/>
      <c r="P22" s="3726"/>
      <c r="Q22" s="3727"/>
      <c r="R22" s="2053"/>
      <c r="S22" s="2053"/>
      <c r="T22" s="2053"/>
      <c r="U22" s="2053"/>
      <c r="V22" s="2053"/>
      <c r="W22" s="2053"/>
      <c r="X22" s="2053"/>
      <c r="Y22" s="2053"/>
      <c r="Z22" s="2053"/>
      <c r="AA22" s="2492">
        <v>22</v>
      </c>
      <c r="AB22" s="2053"/>
    </row>
    <row r="23" spans="1:28" s="1928" customFormat="1">
      <c r="A23" s="3725" t="s">
        <v>1872</v>
      </c>
      <c r="B23" s="3726"/>
      <c r="C23" s="3726"/>
      <c r="D23" s="3726"/>
      <c r="E23" s="3726"/>
      <c r="F23" s="3726"/>
      <c r="G23" s="3726"/>
      <c r="H23" s="3726"/>
      <c r="I23" s="3726"/>
      <c r="J23" s="3726"/>
      <c r="K23" s="3726"/>
      <c r="L23" s="3726"/>
      <c r="M23" s="3726"/>
      <c r="N23" s="3726"/>
      <c r="O23" s="3726"/>
      <c r="P23" s="3726"/>
      <c r="Q23" s="3727"/>
      <c r="R23" s="2053"/>
      <c r="S23" s="2053"/>
      <c r="T23" s="2053"/>
      <c r="U23" s="2053"/>
      <c r="V23" s="2053"/>
      <c r="W23" s="2053"/>
      <c r="X23" s="2053"/>
      <c r="Y23" s="2053"/>
      <c r="Z23" s="2053"/>
      <c r="AA23" s="2492">
        <v>23</v>
      </c>
      <c r="AB23" s="2053"/>
    </row>
    <row r="24" spans="1:28" s="1928" customFormat="1">
      <c r="A24" s="3725" t="s">
        <v>1873</v>
      </c>
      <c r="B24" s="3726"/>
      <c r="C24" s="3726"/>
      <c r="D24" s="3726"/>
      <c r="E24" s="3726"/>
      <c r="F24" s="3726"/>
      <c r="G24" s="3726"/>
      <c r="H24" s="3726"/>
      <c r="I24" s="3726"/>
      <c r="J24" s="3726"/>
      <c r="K24" s="3726"/>
      <c r="L24" s="3726"/>
      <c r="M24" s="3726"/>
      <c r="N24" s="3726"/>
      <c r="O24" s="3726"/>
      <c r="P24" s="3726"/>
      <c r="Q24" s="3727"/>
      <c r="R24" s="2053"/>
      <c r="S24" s="2053"/>
      <c r="T24" s="2053"/>
      <c r="U24" s="2053"/>
      <c r="V24" s="2053"/>
      <c r="W24" s="2053"/>
      <c r="X24" s="2053"/>
      <c r="Y24" s="2053"/>
      <c r="Z24" s="2053"/>
      <c r="AA24" s="2492">
        <v>24</v>
      </c>
      <c r="AB24" s="2053"/>
    </row>
    <row r="25" spans="1:28" s="1928" customFormat="1">
      <c r="A25" s="3725" t="s">
        <v>1874</v>
      </c>
      <c r="B25" s="3726"/>
      <c r="C25" s="3726"/>
      <c r="D25" s="3726"/>
      <c r="E25" s="3726"/>
      <c r="F25" s="3726"/>
      <c r="G25" s="3726"/>
      <c r="H25" s="3726"/>
      <c r="I25" s="3726"/>
      <c r="J25" s="3726"/>
      <c r="K25" s="3726"/>
      <c r="L25" s="3726"/>
      <c r="M25" s="3726"/>
      <c r="N25" s="3726"/>
      <c r="O25" s="3726"/>
      <c r="P25" s="3726"/>
      <c r="Q25" s="3727"/>
      <c r="R25" s="2053"/>
      <c r="S25" s="2053"/>
      <c r="T25" s="2053"/>
      <c r="U25" s="2053"/>
      <c r="V25" s="2053"/>
      <c r="W25" s="2053"/>
      <c r="X25" s="2053"/>
      <c r="Y25" s="2053"/>
      <c r="Z25" s="2053"/>
      <c r="AA25" s="2492">
        <v>25</v>
      </c>
      <c r="AB25" s="2053"/>
    </row>
    <row r="26" spans="1:28" s="1928" customFormat="1">
      <c r="A26" s="3725" t="s">
        <v>1875</v>
      </c>
      <c r="B26" s="3726"/>
      <c r="C26" s="3726"/>
      <c r="D26" s="3726"/>
      <c r="E26" s="3726"/>
      <c r="F26" s="3726"/>
      <c r="G26" s="3726"/>
      <c r="H26" s="3726"/>
      <c r="I26" s="3726"/>
      <c r="J26" s="3726"/>
      <c r="K26" s="3726"/>
      <c r="L26" s="3726"/>
      <c r="M26" s="3726"/>
      <c r="N26" s="3726"/>
      <c r="O26" s="3726"/>
      <c r="P26" s="3726"/>
      <c r="Q26" s="3727"/>
      <c r="R26" s="2053"/>
      <c r="S26" s="2053"/>
      <c r="T26" s="2053"/>
      <c r="U26" s="2053"/>
      <c r="V26" s="2053"/>
      <c r="W26" s="2053"/>
      <c r="X26" s="2053"/>
      <c r="Y26" s="2053"/>
      <c r="Z26" s="2053"/>
      <c r="AA26" s="2492">
        <v>26</v>
      </c>
      <c r="AB26" s="2053"/>
    </row>
    <row r="27" spans="1:28" s="1928" customFormat="1">
      <c r="A27" s="3725" t="s">
        <v>1876</v>
      </c>
      <c r="B27" s="3726"/>
      <c r="C27" s="3726"/>
      <c r="D27" s="3726"/>
      <c r="E27" s="3726"/>
      <c r="F27" s="3726"/>
      <c r="G27" s="3726"/>
      <c r="H27" s="3726"/>
      <c r="I27" s="3726"/>
      <c r="J27" s="3726"/>
      <c r="K27" s="3726"/>
      <c r="L27" s="3726"/>
      <c r="M27" s="3726"/>
      <c r="N27" s="3726"/>
      <c r="O27" s="3726"/>
      <c r="P27" s="3726"/>
      <c r="Q27" s="3727"/>
      <c r="R27" s="2053"/>
      <c r="S27" s="2053"/>
      <c r="T27" s="2053"/>
      <c r="U27" s="2053"/>
      <c r="V27" s="2053"/>
      <c r="W27" s="2053"/>
      <c r="X27" s="2053"/>
      <c r="Y27" s="2053"/>
      <c r="Z27" s="2053"/>
      <c r="AA27" s="2493">
        <v>27</v>
      </c>
      <c r="AB27" s="2053"/>
    </row>
    <row r="28" spans="1:28" s="1928" customFormat="1">
      <c r="A28" s="3728" t="s">
        <v>1877</v>
      </c>
      <c r="B28" s="3729"/>
      <c r="C28" s="3729"/>
      <c r="D28" s="3729"/>
      <c r="E28" s="3729"/>
      <c r="F28" s="3729"/>
      <c r="G28" s="3729"/>
      <c r="H28" s="3729"/>
      <c r="I28" s="3729"/>
      <c r="J28" s="3729"/>
      <c r="K28" s="3729"/>
      <c r="L28" s="3729"/>
      <c r="M28" s="3729"/>
      <c r="N28" s="3729"/>
      <c r="O28" s="3729"/>
      <c r="P28" s="3729"/>
      <c r="Q28" s="3730"/>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4526</v>
      </c>
      <c r="C31" s="1933"/>
      <c r="D31" s="1933"/>
      <c r="E31" s="1933"/>
      <c r="F31" s="1933"/>
      <c r="G31" s="1933"/>
      <c r="I31" s="1935"/>
      <c r="J31" s="1935"/>
      <c r="K31" s="1935"/>
      <c r="L31" s="1932"/>
      <c r="M31" s="1932"/>
      <c r="O31" s="1936" t="s">
        <v>1726</v>
      </c>
      <c r="P31" s="3731"/>
      <c r="Q31" s="3732"/>
      <c r="AA31" s="2492">
        <v>31</v>
      </c>
    </row>
    <row r="32" spans="1:28" ht="15" customHeight="1">
      <c r="B32" s="1938" t="s">
        <v>4653</v>
      </c>
      <c r="C32" s="1938"/>
      <c r="D32" s="1938"/>
      <c r="E32" s="1938"/>
      <c r="F32" s="1938"/>
      <c r="G32" s="1935"/>
      <c r="H32" s="1935"/>
      <c r="I32" s="1935"/>
      <c r="J32" s="1935"/>
      <c r="K32" s="1932"/>
      <c r="L32" s="1932"/>
      <c r="M32" s="1932"/>
      <c r="N32" s="1932"/>
      <c r="O32" s="1932"/>
      <c r="P32" s="1932"/>
      <c r="AA32" s="2492">
        <v>32</v>
      </c>
    </row>
    <row r="33" spans="1:27" ht="20.25" customHeight="1">
      <c r="A33" s="3583" t="s">
        <v>5213</v>
      </c>
      <c r="B33" s="3583"/>
      <c r="C33" s="3583"/>
      <c r="D33" s="3583"/>
      <c r="E33" s="3583"/>
      <c r="F33" s="3583"/>
      <c r="G33" s="3583"/>
      <c r="H33" s="3583"/>
      <c r="I33" s="3583"/>
      <c r="J33" s="3583"/>
      <c r="K33" s="3583"/>
      <c r="L33" s="3583"/>
      <c r="M33" s="3583"/>
      <c r="N33" s="3583"/>
      <c r="O33" s="3583"/>
      <c r="P33" s="3583"/>
      <c r="Q33" s="365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9"/>
      <c r="B35" s="3669"/>
      <c r="C35" s="3669"/>
      <c r="D35" s="3669"/>
      <c r="E35" s="3669"/>
      <c r="F35" s="3669"/>
      <c r="G35" s="3669"/>
      <c r="H35" s="3669"/>
      <c r="I35" s="3669"/>
      <c r="J35" s="3669"/>
      <c r="K35" s="3669"/>
      <c r="L35" s="3669"/>
      <c r="M35" s="3669"/>
      <c r="N35" s="3669"/>
      <c r="O35" s="3669"/>
      <c r="P35" s="3669"/>
      <c r="Q35" s="3669"/>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9"/>
      <c r="Q38" s="3638"/>
      <c r="AA38" s="2492">
        <v>38</v>
      </c>
    </row>
    <row r="39" spans="1:27" ht="18.75" customHeight="1">
      <c r="A39" s="1941"/>
      <c r="B39" s="3724" t="s">
        <v>4654</v>
      </c>
      <c r="C39" s="3724"/>
      <c r="D39" s="3724"/>
      <c r="E39" s="3724"/>
      <c r="F39" s="3724"/>
      <c r="G39" s="3724"/>
      <c r="H39" s="3724"/>
      <c r="I39" s="3724"/>
      <c r="J39" s="3724"/>
      <c r="K39" s="3724"/>
      <c r="L39" s="3724"/>
      <c r="M39" s="3724"/>
      <c r="N39" s="3724"/>
      <c r="O39" s="3724"/>
      <c r="P39" s="3600" t="s">
        <v>2641</v>
      </c>
      <c r="Q39" s="3601"/>
      <c r="AA39" s="2492">
        <v>39</v>
      </c>
    </row>
    <row r="40" spans="1:27" ht="15" customHeight="1">
      <c r="B40" s="1944" t="s">
        <v>3154</v>
      </c>
      <c r="D40" s="1944"/>
      <c r="E40" s="1944"/>
      <c r="F40" s="1944"/>
      <c r="G40" s="1944"/>
      <c r="H40" s="1942"/>
      <c r="I40" s="1935"/>
      <c r="J40" s="1935"/>
      <c r="AA40" s="2492">
        <v>40</v>
      </c>
    </row>
    <row r="41" spans="1:27" ht="20.25" customHeight="1">
      <c r="A41" s="3627" t="s">
        <v>5150</v>
      </c>
      <c r="B41" s="3628"/>
      <c r="C41" s="3628"/>
      <c r="D41" s="3628"/>
      <c r="E41" s="3628"/>
      <c r="F41" s="3628"/>
      <c r="G41" s="3628"/>
      <c r="H41" s="3628"/>
      <c r="I41" s="3628"/>
      <c r="J41" s="3628"/>
      <c r="K41" s="3628"/>
      <c r="L41" s="3628"/>
      <c r="M41" s="3628"/>
      <c r="N41" s="3628"/>
      <c r="O41" s="3628"/>
      <c r="P41" s="3628"/>
      <c r="Q41" s="3629"/>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9"/>
      <c r="B43" s="3669"/>
      <c r="C43" s="3669"/>
      <c r="D43" s="3669"/>
      <c r="E43" s="3669"/>
      <c r="F43" s="3669"/>
      <c r="G43" s="3669"/>
      <c r="H43" s="3669"/>
      <c r="I43" s="3669"/>
      <c r="J43" s="3669"/>
      <c r="K43" s="3669"/>
      <c r="L43" s="3669"/>
      <c r="M43" s="3669"/>
      <c r="N43" s="3669"/>
      <c r="O43" s="3669"/>
      <c r="P43" s="3669"/>
      <c r="Q43" s="3669"/>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4790</v>
      </c>
      <c r="C46" s="1941"/>
      <c r="D46" s="1940"/>
      <c r="E46" s="1940"/>
      <c r="F46" s="1940"/>
      <c r="G46" s="1940"/>
      <c r="H46" s="1940"/>
      <c r="I46" s="1940"/>
      <c r="J46" s="1940"/>
      <c r="L46" s="1945"/>
      <c r="M46" s="1946"/>
      <c r="O46" s="1936" t="s">
        <v>1726</v>
      </c>
      <c r="P46" s="3589"/>
      <c r="Q46" s="3597"/>
      <c r="AA46" s="2492">
        <v>46</v>
      </c>
    </row>
    <row r="47" spans="1:27" ht="20.25" customHeight="1">
      <c r="A47" s="1947"/>
      <c r="B47" s="1942" t="s">
        <v>5013</v>
      </c>
      <c r="C47" s="1941"/>
      <c r="D47" s="1940"/>
      <c r="E47" s="1940"/>
      <c r="F47" s="1940"/>
      <c r="G47" s="1940"/>
      <c r="H47" s="1940"/>
      <c r="I47" s="1940"/>
      <c r="J47" s="1940"/>
      <c r="L47" s="1945"/>
      <c r="M47" s="1946"/>
      <c r="O47" s="1936"/>
      <c r="P47" s="3600" t="s">
        <v>2641</v>
      </c>
      <c r="Q47" s="3601"/>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0.25" customHeight="1">
      <c r="A49" s="3583" t="s">
        <v>5151</v>
      </c>
      <c r="B49" s="3583"/>
      <c r="C49" s="3583"/>
      <c r="D49" s="3583"/>
      <c r="E49" s="3583"/>
      <c r="F49" s="3583"/>
      <c r="G49" s="3583"/>
      <c r="H49" s="3583"/>
      <c r="I49" s="3583"/>
      <c r="J49" s="3583"/>
      <c r="K49" s="3586"/>
      <c r="L49" s="3586"/>
      <c r="M49" s="3586"/>
      <c r="N49" s="3586"/>
      <c r="O49" s="3586"/>
      <c r="P49" s="3586"/>
      <c r="Q49" s="3639"/>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3888</v>
      </c>
      <c r="C52" s="1941"/>
      <c r="D52" s="1940"/>
      <c r="E52" s="1940"/>
      <c r="F52" s="1940"/>
      <c r="G52" s="1940"/>
      <c r="H52" s="1948"/>
      <c r="J52" s="1947"/>
      <c r="K52" s="1926"/>
      <c r="L52" s="1947"/>
      <c r="M52" s="1949"/>
      <c r="O52" s="1936" t="s">
        <v>1726</v>
      </c>
      <c r="P52" s="3589"/>
      <c r="Q52" s="3597"/>
      <c r="AA52" s="2492">
        <v>52</v>
      </c>
    </row>
    <row r="53" spans="1:27" ht="27.95" customHeight="1">
      <c r="A53" s="1947"/>
      <c r="B53" s="3591" t="s">
        <v>2258</v>
      </c>
      <c r="C53" s="3591"/>
      <c r="D53" s="3591"/>
      <c r="E53" s="3591"/>
      <c r="F53" s="3591"/>
      <c r="G53" s="3591"/>
      <c r="H53" s="3592"/>
      <c r="I53" s="3648" t="s">
        <v>5152</v>
      </c>
      <c r="J53" s="3649"/>
      <c r="K53" s="3649"/>
      <c r="L53" s="3649"/>
      <c r="M53" s="3649"/>
      <c r="N53" s="3649"/>
      <c r="O53" s="3649"/>
      <c r="P53" s="3649"/>
      <c r="Q53" s="3650"/>
      <c r="AA53" s="2492">
        <v>53</v>
      </c>
    </row>
    <row r="54" spans="1:27" ht="15.95" customHeight="1">
      <c r="A54" s="1947"/>
      <c r="B54" s="1934" t="s">
        <v>4655</v>
      </c>
      <c r="D54" s="1950"/>
      <c r="E54" s="1950"/>
      <c r="F54" s="1950"/>
      <c r="I54" s="3721">
        <v>0.95099999999999996</v>
      </c>
      <c r="J54" s="3722"/>
      <c r="K54" s="3723"/>
      <c r="L54" s="1943"/>
      <c r="M54" s="1951"/>
      <c r="N54" s="1951"/>
      <c r="O54" s="1951"/>
      <c r="P54" s="1951"/>
      <c r="Q54" s="1932"/>
      <c r="AA54" s="2493">
        <v>54</v>
      </c>
    </row>
    <row r="55" spans="1:27" ht="15.95" customHeight="1">
      <c r="A55" s="1947"/>
      <c r="B55" s="1934" t="s">
        <v>4656</v>
      </c>
      <c r="D55" s="1950"/>
      <c r="E55" s="1950"/>
      <c r="F55" s="1950"/>
      <c r="H55" s="1943" t="s">
        <v>4657</v>
      </c>
      <c r="I55" s="3721">
        <v>1.2999999999999999E-2</v>
      </c>
      <c r="J55" s="3722"/>
      <c r="K55" s="3723"/>
      <c r="L55" s="1952"/>
      <c r="M55" s="1953" t="s">
        <v>4658</v>
      </c>
      <c r="N55" s="3721">
        <v>2E-3</v>
      </c>
      <c r="O55" s="3723"/>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0.25" customHeight="1">
      <c r="A57" s="3583" t="s">
        <v>5153</v>
      </c>
      <c r="B57" s="3583"/>
      <c r="C57" s="3583"/>
      <c r="D57" s="3583"/>
      <c r="E57" s="3583"/>
      <c r="F57" s="3583"/>
      <c r="G57" s="3583"/>
      <c r="H57" s="3583"/>
      <c r="I57" s="3583"/>
      <c r="J57" s="3583"/>
      <c r="K57" s="3583"/>
      <c r="L57" s="3583"/>
      <c r="M57" s="3583"/>
      <c r="N57" s="3583"/>
      <c r="O57" s="3583"/>
      <c r="P57" s="3583"/>
      <c r="Q57" s="365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6"/>
      <c r="B59" s="3586"/>
      <c r="C59" s="3586"/>
      <c r="D59" s="3586"/>
      <c r="E59" s="3586"/>
      <c r="F59" s="3586"/>
      <c r="G59" s="3586"/>
      <c r="H59" s="3586"/>
      <c r="I59" s="3586"/>
      <c r="J59" s="3586"/>
      <c r="K59" s="3586"/>
      <c r="L59" s="3586"/>
      <c r="M59" s="3586"/>
      <c r="N59" s="3586"/>
      <c r="O59" s="3586"/>
      <c r="P59" s="3586"/>
      <c r="Q59" s="3639"/>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40"/>
      <c r="Q62" s="3670"/>
      <c r="AA62" s="2492">
        <v>62</v>
      </c>
    </row>
    <row r="63" spans="1:27" ht="15.95" customHeight="1">
      <c r="A63" s="1947"/>
      <c r="B63" s="1934" t="s">
        <v>4659</v>
      </c>
      <c r="I63" s="1956"/>
      <c r="J63" s="3711" t="s">
        <v>5193</v>
      </c>
      <c r="K63" s="3711"/>
      <c r="L63" s="3711"/>
      <c r="M63" s="3711"/>
      <c r="N63" s="3711"/>
      <c r="O63" s="3711"/>
      <c r="P63" s="3711"/>
      <c r="Q63" s="3712"/>
      <c r="AA63" s="2493">
        <v>63</v>
      </c>
    </row>
    <row r="64" spans="1:27" ht="15.95" customHeight="1">
      <c r="A64" s="1947"/>
      <c r="B64" s="1934" t="s">
        <v>3821</v>
      </c>
      <c r="O64" s="1943"/>
      <c r="P64" s="1962" t="s">
        <v>2644</v>
      </c>
      <c r="Q64" s="1955"/>
      <c r="AA64" s="2492">
        <v>64</v>
      </c>
    </row>
    <row r="65" spans="1:28" ht="31.5" customHeight="1">
      <c r="B65" s="1941"/>
      <c r="C65" s="3591" t="s">
        <v>4792</v>
      </c>
      <c r="D65" s="3591"/>
      <c r="E65" s="3591"/>
      <c r="F65" s="3591"/>
      <c r="G65" s="3591"/>
      <c r="H65" s="3591"/>
      <c r="I65" s="3591"/>
      <c r="J65" s="3591"/>
      <c r="K65" s="3591"/>
      <c r="L65" s="3591"/>
      <c r="M65" s="3591"/>
      <c r="N65" s="3591"/>
      <c r="O65" s="3591"/>
      <c r="P65" s="2059" t="s">
        <v>5147</v>
      </c>
      <c r="Q65" s="2084"/>
      <c r="AA65" s="2492">
        <v>65</v>
      </c>
    </row>
    <row r="66" spans="1:28" ht="15" customHeight="1">
      <c r="B66" s="1954" t="s">
        <v>4653</v>
      </c>
      <c r="D66" s="1954"/>
      <c r="E66" s="1954"/>
      <c r="F66" s="1954"/>
      <c r="G66" s="1954"/>
      <c r="H66" s="1942"/>
      <c r="I66" s="1935"/>
      <c r="J66" s="1935"/>
      <c r="K66" s="1935"/>
      <c r="L66" s="1932"/>
      <c r="M66" s="1932"/>
      <c r="N66" s="1932"/>
      <c r="O66" s="1932"/>
      <c r="P66" s="1932"/>
      <c r="Q66" s="1932"/>
      <c r="AA66" s="2492">
        <v>66</v>
      </c>
    </row>
    <row r="67" spans="1:28" ht="20.25" customHeight="1">
      <c r="A67" s="3627" t="s">
        <v>5198</v>
      </c>
      <c r="B67" s="3634"/>
      <c r="C67" s="3634"/>
      <c r="D67" s="3634"/>
      <c r="E67" s="3634"/>
      <c r="F67" s="3634"/>
      <c r="G67" s="3634"/>
      <c r="H67" s="3634"/>
      <c r="I67" s="3634"/>
      <c r="J67" s="3634"/>
      <c r="K67" s="3634"/>
      <c r="L67" s="3634"/>
      <c r="M67" s="3634"/>
      <c r="N67" s="3634"/>
      <c r="O67" s="3634"/>
      <c r="P67" s="3634"/>
      <c r="Q67" s="3635"/>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5"/>
      <c r="B69" s="3636"/>
      <c r="C69" s="3636"/>
      <c r="D69" s="3636"/>
      <c r="E69" s="3636"/>
      <c r="F69" s="3636"/>
      <c r="G69" s="3636"/>
      <c r="H69" s="3636"/>
      <c r="I69" s="3636"/>
      <c r="J69" s="3636"/>
      <c r="K69" s="3636"/>
      <c r="L69" s="3636"/>
      <c r="M69" s="3636"/>
      <c r="N69" s="3636"/>
      <c r="O69" s="3636"/>
      <c r="P69" s="3636"/>
      <c r="Q69" s="3637"/>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9"/>
      <c r="Q72" s="3597"/>
      <c r="AA72" s="2493">
        <v>72</v>
      </c>
    </row>
    <row r="73" spans="1:28" ht="32.25" customHeight="1">
      <c r="A73" s="1947"/>
      <c r="B73" s="3591" t="s">
        <v>4997</v>
      </c>
      <c r="C73" s="3591"/>
      <c r="D73" s="3591"/>
      <c r="E73" s="3591"/>
      <c r="F73" s="3591"/>
      <c r="G73" s="3591"/>
      <c r="H73" s="3591"/>
      <c r="I73" s="3591"/>
      <c r="J73" s="3591"/>
      <c r="K73" s="3592"/>
      <c r="L73" s="3717" t="s">
        <v>5155</v>
      </c>
      <c r="M73" s="3718"/>
      <c r="N73" s="3718"/>
      <c r="O73" s="3718"/>
      <c r="P73" s="3719"/>
      <c r="Q73" s="3720"/>
      <c r="AA73" s="2492">
        <v>73</v>
      </c>
    </row>
    <row r="74" spans="1:28" ht="16.5" customHeight="1">
      <c r="B74" s="1934" t="s">
        <v>4660</v>
      </c>
      <c r="C74" s="1937"/>
      <c r="O74" s="1943"/>
      <c r="P74" s="1962" t="s">
        <v>2644</v>
      </c>
      <c r="Q74" s="1955"/>
      <c r="AA74" s="2492">
        <v>74</v>
      </c>
    </row>
    <row r="75" spans="1:28" ht="16.5" customHeight="1">
      <c r="A75" s="1947"/>
      <c r="B75" s="1934" t="s">
        <v>4524</v>
      </c>
      <c r="D75" s="1950"/>
      <c r="E75" s="1950"/>
      <c r="F75" s="1950"/>
      <c r="G75" s="1950"/>
      <c r="H75" s="1950"/>
      <c r="K75" s="1950"/>
      <c r="L75" s="1940"/>
      <c r="O75" s="1943"/>
      <c r="P75" s="1959" t="s">
        <v>2641</v>
      </c>
      <c r="Q75" s="1960"/>
      <c r="AA75" s="2492">
        <v>75</v>
      </c>
    </row>
    <row r="76" spans="1:28" ht="15" customHeight="1">
      <c r="A76" s="1947"/>
      <c r="B76" s="1934" t="s">
        <v>4661</v>
      </c>
      <c r="D76" s="1950"/>
      <c r="E76" s="1950"/>
      <c r="F76" s="1950"/>
      <c r="G76" s="1950"/>
      <c r="H76" s="1950"/>
      <c r="K76" s="1950"/>
      <c r="L76" s="1940"/>
      <c r="M76" s="1940"/>
      <c r="N76" s="1940"/>
      <c r="O76" s="1943"/>
      <c r="AA76" s="2492">
        <v>76</v>
      </c>
    </row>
    <row r="77" spans="1:28" ht="16.5" customHeight="1">
      <c r="A77" s="1947"/>
      <c r="B77" s="1941"/>
      <c r="C77" s="1934" t="s">
        <v>4662</v>
      </c>
      <c r="E77" s="1950"/>
      <c r="F77" s="1950"/>
      <c r="G77" s="1950"/>
      <c r="H77" s="1950"/>
      <c r="K77" s="1950"/>
      <c r="L77" s="1940"/>
      <c r="M77" s="1940"/>
      <c r="O77" s="1943"/>
      <c r="P77" s="1962" t="s">
        <v>2644</v>
      </c>
      <c r="Q77" s="1955"/>
      <c r="AA77" s="2492">
        <v>77</v>
      </c>
    </row>
    <row r="78" spans="1:28" ht="16.5" customHeight="1">
      <c r="A78" s="1947"/>
      <c r="B78" s="1941"/>
      <c r="C78" s="1934" t="s">
        <v>4663</v>
      </c>
      <c r="E78" s="1950"/>
      <c r="F78" s="1950"/>
      <c r="G78" s="1950"/>
      <c r="K78" s="1950"/>
      <c r="L78" s="1940"/>
      <c r="M78" s="1940"/>
      <c r="O78" s="1943"/>
      <c r="P78" s="1957" t="s">
        <v>2644</v>
      </c>
      <c r="Q78" s="1958"/>
      <c r="AA78" s="2492">
        <v>78</v>
      </c>
    </row>
    <row r="79" spans="1:28" s="1973" customFormat="1" ht="16.5" customHeight="1">
      <c r="A79" s="1963"/>
      <c r="B79" s="1964"/>
      <c r="C79" s="1964"/>
      <c r="D79" s="1929" t="s">
        <v>4664</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4665</v>
      </c>
      <c r="E80" s="1950"/>
      <c r="F80" s="1950"/>
      <c r="G80" s="1950"/>
      <c r="K80" s="1950"/>
      <c r="L80" s="1940"/>
      <c r="M80" s="1940"/>
      <c r="O80" s="1943"/>
      <c r="P80" s="1959" t="s">
        <v>2644</v>
      </c>
      <c r="Q80" s="1960"/>
      <c r="AA80" s="2492">
        <v>80</v>
      </c>
    </row>
    <row r="81" spans="1:27" ht="32.25" customHeight="1">
      <c r="A81" s="1947"/>
      <c r="B81" s="3713" t="s">
        <v>4818</v>
      </c>
      <c r="C81" s="3713"/>
      <c r="D81" s="3713"/>
      <c r="E81" s="3713"/>
      <c r="F81" s="3713"/>
      <c r="G81" s="3713"/>
      <c r="H81" s="3713"/>
      <c r="I81" s="3713"/>
      <c r="J81" s="3713"/>
      <c r="K81" s="3713"/>
      <c r="L81" s="3713"/>
      <c r="M81" s="3713"/>
      <c r="N81" s="3713"/>
      <c r="O81" s="3713"/>
      <c r="P81" s="3713"/>
      <c r="Q81" s="3713"/>
      <c r="AA81" s="2493">
        <v>81</v>
      </c>
    </row>
    <row r="82" spans="1:27" ht="20.25" customHeight="1">
      <c r="B82" s="3711" t="s">
        <v>5154</v>
      </c>
      <c r="C82" s="3711"/>
      <c r="D82" s="3711"/>
      <c r="E82" s="3711"/>
      <c r="F82" s="3711"/>
      <c r="G82" s="3711"/>
      <c r="H82" s="3711"/>
      <c r="I82" s="3711"/>
      <c r="J82" s="3711"/>
      <c r="K82" s="3711"/>
      <c r="L82" s="3711"/>
      <c r="M82" s="3711"/>
      <c r="N82" s="3711"/>
      <c r="O82" s="3711"/>
      <c r="P82" s="3711"/>
      <c r="Q82" s="3712"/>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20.25" customHeight="1">
      <c r="A84" s="3583" t="s">
        <v>5222</v>
      </c>
      <c r="B84" s="3583"/>
      <c r="C84" s="3583"/>
      <c r="D84" s="3583"/>
      <c r="E84" s="3583"/>
      <c r="F84" s="3583"/>
      <c r="G84" s="3583"/>
      <c r="H84" s="3583"/>
      <c r="I84" s="3583"/>
      <c r="J84" s="3583"/>
      <c r="K84" s="3583"/>
      <c r="L84" s="3583"/>
      <c r="M84" s="3583"/>
      <c r="N84" s="3583"/>
      <c r="O84" s="3583"/>
      <c r="P84" s="3583"/>
      <c r="Q84" s="365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6"/>
      <c r="B86" s="3586"/>
      <c r="C86" s="3586"/>
      <c r="D86" s="3586"/>
      <c r="E86" s="3586"/>
      <c r="F86" s="3586"/>
      <c r="G86" s="3586"/>
      <c r="H86" s="3586"/>
      <c r="I86" s="3586"/>
      <c r="J86" s="3586"/>
      <c r="K86" s="3586"/>
      <c r="L86" s="3586"/>
      <c r="M86" s="3586"/>
      <c r="N86" s="3586"/>
      <c r="O86" s="3586"/>
      <c r="P86" s="3586"/>
      <c r="Q86" s="3639"/>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9"/>
      <c r="Q89" s="3597"/>
      <c r="AA89" s="2492">
        <v>89</v>
      </c>
    </row>
    <row r="90" spans="1:27" ht="14.1" customHeight="1">
      <c r="A90" s="1947"/>
      <c r="B90" s="1934" t="s">
        <v>143</v>
      </c>
      <c r="F90" s="1993" t="str">
        <f>IF(L90="Ground lease/Option","Ground lease/Option:","")</f>
        <v>Ground lease/Option:</v>
      </c>
      <c r="H90" s="1995" t="str">
        <f>IF(L90="Ground lease/Option","Annual Pymt:","")</f>
        <v>Annual Pymt:</v>
      </c>
      <c r="I90" s="1996" t="str">
        <f>IF(M130="Ground lease/Option",'Part V-Revenues &amp; Expenses'!$K$255,"")</f>
        <v/>
      </c>
      <c r="J90" s="1994" t="str">
        <f>IF(L90="Ground lease/Option","Term (yrs):","")</f>
        <v>Term (yrs):</v>
      </c>
      <c r="K90" s="2051" t="str">
        <f>IF(M130="Ground lease/Option",'Part V-Revenues &amp; Expenses'!$N$255,"")</f>
        <v/>
      </c>
      <c r="L90" s="3714" t="s">
        <v>4690</v>
      </c>
      <c r="M90" s="3715"/>
      <c r="N90" s="3716"/>
      <c r="O90" s="3589" t="s">
        <v>1641</v>
      </c>
      <c r="P90" s="3633"/>
      <c r="Q90" s="3590"/>
      <c r="AA90" s="2493">
        <v>90</v>
      </c>
    </row>
    <row r="91" spans="1:27" ht="14.1" customHeight="1">
      <c r="A91" s="1947"/>
      <c r="B91" s="1934" t="s">
        <v>635</v>
      </c>
      <c r="G91" s="3711" t="s">
        <v>5156</v>
      </c>
      <c r="H91" s="3711"/>
      <c r="I91" s="3711"/>
      <c r="J91" s="3711"/>
      <c r="K91" s="3711"/>
      <c r="L91" s="3711"/>
      <c r="M91" s="3711"/>
      <c r="N91" s="3711"/>
      <c r="O91" s="3711"/>
      <c r="P91" s="3711"/>
      <c r="Q91" s="3712"/>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18.600000000000001" customHeight="1">
      <c r="A93" s="3583" t="s">
        <v>5157</v>
      </c>
      <c r="B93" s="3583"/>
      <c r="C93" s="3583"/>
      <c r="D93" s="3583"/>
      <c r="E93" s="3583"/>
      <c r="F93" s="3583"/>
      <c r="G93" s="3583"/>
      <c r="H93" s="3583"/>
      <c r="I93" s="3583"/>
      <c r="J93" s="3583"/>
      <c r="K93" s="3583"/>
      <c r="L93" s="3583"/>
      <c r="M93" s="3583"/>
      <c r="N93" s="3583"/>
      <c r="O93" s="3583"/>
      <c r="P93" s="3583"/>
      <c r="Q93" s="366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6"/>
      <c r="B95" s="3586"/>
      <c r="C95" s="3586"/>
      <c r="D95" s="3586"/>
      <c r="E95" s="3586"/>
      <c r="F95" s="3586"/>
      <c r="G95" s="3586"/>
      <c r="H95" s="3586"/>
      <c r="I95" s="3586"/>
      <c r="J95" s="3586"/>
      <c r="K95" s="3586"/>
      <c r="L95" s="3586"/>
      <c r="M95" s="3586"/>
      <c r="N95" s="3586"/>
      <c r="O95" s="3586"/>
      <c r="P95" s="3586"/>
      <c r="Q95" s="3669"/>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9"/>
      <c r="Q98" s="3597"/>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583" t="s">
        <v>5158</v>
      </c>
      <c r="B100" s="3583"/>
      <c r="C100" s="3583"/>
      <c r="D100" s="3583"/>
      <c r="E100" s="3583"/>
      <c r="F100" s="3583"/>
      <c r="G100" s="3583"/>
      <c r="H100" s="3583"/>
      <c r="I100" s="3583"/>
      <c r="J100" s="3583"/>
      <c r="K100" s="3583"/>
      <c r="L100" s="3583"/>
      <c r="M100" s="3583"/>
      <c r="N100" s="3583"/>
      <c r="O100" s="3583"/>
      <c r="P100" s="3583"/>
      <c r="Q100" s="366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6"/>
      <c r="B102" s="3586"/>
      <c r="C102" s="3586"/>
      <c r="D102" s="3586"/>
      <c r="E102" s="3586"/>
      <c r="F102" s="3586"/>
      <c r="G102" s="3586"/>
      <c r="H102" s="3586"/>
      <c r="I102" s="3586"/>
      <c r="J102" s="3586"/>
      <c r="K102" s="3586"/>
      <c r="L102" s="3586"/>
      <c r="M102" s="3586"/>
      <c r="N102" s="3586"/>
      <c r="O102" s="3586"/>
      <c r="P102" s="3586"/>
      <c r="Q102" s="3669"/>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10" t="s">
        <v>2420</v>
      </c>
      <c r="C105" s="3710"/>
      <c r="D105" s="3710"/>
      <c r="N105" s="1961"/>
      <c r="O105" s="1936" t="s">
        <v>1726</v>
      </c>
      <c r="P105" s="3589"/>
      <c r="Q105" s="3597"/>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83" t="s">
        <v>5199</v>
      </c>
      <c r="B107" s="3583"/>
      <c r="C107" s="3583"/>
      <c r="D107" s="3583"/>
      <c r="E107" s="3583"/>
      <c r="F107" s="3583"/>
      <c r="G107" s="3583"/>
      <c r="H107" s="3583"/>
      <c r="I107" s="3583"/>
      <c r="J107" s="3583"/>
      <c r="K107" s="3583"/>
      <c r="L107" s="3583"/>
      <c r="M107" s="3583"/>
      <c r="N107" s="3583"/>
      <c r="O107" s="3583"/>
      <c r="P107" s="3583"/>
      <c r="Q107" s="366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6"/>
      <c r="B109" s="3586"/>
      <c r="C109" s="3586"/>
      <c r="D109" s="3586"/>
      <c r="E109" s="3586"/>
      <c r="F109" s="3586"/>
      <c r="G109" s="3586"/>
      <c r="H109" s="3586"/>
      <c r="I109" s="3586"/>
      <c r="J109" s="3586"/>
      <c r="K109" s="3586"/>
      <c r="L109" s="3586"/>
      <c r="M109" s="3586"/>
      <c r="N109" s="3586"/>
      <c r="O109" s="3586"/>
      <c r="P109" s="3586"/>
      <c r="Q109" s="3669"/>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40"/>
      <c r="Q112" s="3670"/>
      <c r="AA112" s="2492">
        <v>112</v>
      </c>
    </row>
    <row r="113" spans="1:27" ht="14.1" customHeight="1">
      <c r="A113" s="1947"/>
      <c r="B113" s="1934" t="s">
        <v>4666</v>
      </c>
      <c r="H113" s="1934" t="s">
        <v>4667</v>
      </c>
      <c r="J113" s="3707" t="s">
        <v>5159</v>
      </c>
      <c r="K113" s="3708"/>
      <c r="L113" s="3708"/>
      <c r="M113" s="3708"/>
      <c r="N113" s="3708"/>
      <c r="O113" s="3708"/>
      <c r="P113" s="3708"/>
      <c r="Q113" s="3709"/>
      <c r="AA113" s="2492">
        <v>113</v>
      </c>
    </row>
    <row r="114" spans="1:27" ht="14.1" customHeight="1">
      <c r="A114" s="1947"/>
      <c r="B114" s="1947"/>
      <c r="H114" s="1934" t="s">
        <v>4668</v>
      </c>
      <c r="J114" s="3695" t="s">
        <v>5160</v>
      </c>
      <c r="K114" s="3696"/>
      <c r="L114" s="3696"/>
      <c r="M114" s="3696"/>
      <c r="N114" s="3696"/>
      <c r="O114" s="3696"/>
      <c r="P114" s="3696"/>
      <c r="Q114" s="3697"/>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3" t="s">
        <v>5161</v>
      </c>
      <c r="B116" s="3583"/>
      <c r="C116" s="3583"/>
      <c r="D116" s="3583"/>
      <c r="E116" s="3583"/>
      <c r="F116" s="3583"/>
      <c r="G116" s="3583"/>
      <c r="H116" s="3583"/>
      <c r="I116" s="3583"/>
      <c r="J116" s="3583"/>
      <c r="K116" s="3583"/>
      <c r="L116" s="3583"/>
      <c r="M116" s="3583"/>
      <c r="N116" s="3583"/>
      <c r="O116" s="3583"/>
      <c r="P116" s="3583"/>
      <c r="Q116" s="366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6"/>
      <c r="B118" s="3586"/>
      <c r="C118" s="3586"/>
      <c r="D118" s="3586"/>
      <c r="E118" s="3586"/>
      <c r="F118" s="3586"/>
      <c r="G118" s="3586"/>
      <c r="H118" s="3586"/>
      <c r="I118" s="3586"/>
      <c r="J118" s="3586"/>
      <c r="K118" s="3586"/>
      <c r="L118" s="3586"/>
      <c r="M118" s="3586"/>
      <c r="N118" s="3586"/>
      <c r="O118" s="3586"/>
      <c r="P118" s="3586"/>
      <c r="Q118" s="3639"/>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4669</v>
      </c>
      <c r="C121" s="1933"/>
      <c r="D121" s="1933"/>
      <c r="E121" s="1933"/>
      <c r="F121" s="1933"/>
      <c r="G121" s="1940"/>
      <c r="H121" s="1940"/>
      <c r="J121" s="1940"/>
      <c r="K121" s="1940"/>
      <c r="L121" s="1940"/>
      <c r="M121" s="1940"/>
      <c r="N121" s="1961"/>
      <c r="O121" s="1936" t="s">
        <v>1726</v>
      </c>
      <c r="P121" s="3589"/>
      <c r="Q121" s="3597"/>
      <c r="AA121" s="2492">
        <v>121</v>
      </c>
    </row>
    <row r="122" spans="1:27" ht="14.45" customHeight="1">
      <c r="A122" s="1947"/>
      <c r="B122" s="1934" t="s">
        <v>4670</v>
      </c>
      <c r="H122" s="1934" t="s">
        <v>4671</v>
      </c>
      <c r="J122" s="3707" t="s">
        <v>5162</v>
      </c>
      <c r="K122" s="3708"/>
      <c r="L122" s="3708"/>
      <c r="M122" s="3708"/>
      <c r="N122" s="3708"/>
      <c r="O122" s="3708"/>
      <c r="P122" s="3708"/>
      <c r="Q122" s="3709"/>
      <c r="R122" s="1975"/>
      <c r="AA122" s="2492">
        <v>122</v>
      </c>
    </row>
    <row r="123" spans="1:27" ht="14.45" customHeight="1">
      <c r="A123" s="1974"/>
      <c r="B123" s="1947"/>
      <c r="H123" s="1934" t="s">
        <v>4672</v>
      </c>
      <c r="J123" s="3695" t="s">
        <v>5162</v>
      </c>
      <c r="K123" s="3696"/>
      <c r="L123" s="3696"/>
      <c r="M123" s="3696"/>
      <c r="N123" s="3696"/>
      <c r="O123" s="3696"/>
      <c r="P123" s="3696"/>
      <c r="Q123" s="3697"/>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583" t="s">
        <v>5163</v>
      </c>
      <c r="B125" s="3583"/>
      <c r="C125" s="3583"/>
      <c r="D125" s="3583"/>
      <c r="E125" s="3583"/>
      <c r="F125" s="3583"/>
      <c r="G125" s="3583"/>
      <c r="H125" s="3583"/>
      <c r="I125" s="3583"/>
      <c r="J125" s="3583"/>
      <c r="K125" s="3583"/>
      <c r="L125" s="3583"/>
      <c r="M125" s="3583"/>
      <c r="N125" s="3583"/>
      <c r="O125" s="3583"/>
      <c r="P125" s="3583"/>
      <c r="Q125" s="366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6"/>
      <c r="B127" s="3586"/>
      <c r="C127" s="3586"/>
      <c r="D127" s="3586"/>
      <c r="E127" s="3586"/>
      <c r="F127" s="3586"/>
      <c r="G127" s="3586"/>
      <c r="H127" s="3586"/>
      <c r="I127" s="3586"/>
      <c r="J127" s="3586"/>
      <c r="K127" s="3586"/>
      <c r="L127" s="3586"/>
      <c r="M127" s="3586"/>
      <c r="N127" s="3586"/>
      <c r="O127" s="3586"/>
      <c r="P127" s="3586"/>
      <c r="Q127" s="3639"/>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9"/>
      <c r="Q130" s="3597"/>
      <c r="AA130" s="2492">
        <v>130</v>
      </c>
    </row>
    <row r="131" spans="1:27" ht="27.6" customHeight="1">
      <c r="A131" s="1937"/>
      <c r="B131" s="3591" t="s">
        <v>4998</v>
      </c>
      <c r="C131" s="3591"/>
      <c r="D131" s="3591"/>
      <c r="E131" s="3591"/>
      <c r="F131" s="3591"/>
      <c r="G131" s="3591"/>
      <c r="H131" s="3591"/>
      <c r="I131" s="3591"/>
      <c r="J131" s="3591"/>
      <c r="K131" s="3591"/>
      <c r="L131" s="3591"/>
      <c r="M131" s="3591"/>
      <c r="N131" s="3591"/>
      <c r="O131" s="3592"/>
      <c r="P131" s="3600" t="s">
        <v>2641</v>
      </c>
      <c r="Q131" s="3601"/>
      <c r="AA131" s="2492">
        <v>131</v>
      </c>
    </row>
    <row r="132" spans="1:27" ht="20.25" customHeight="1">
      <c r="A132" s="1947" t="s">
        <v>1836</v>
      </c>
      <c r="B132" s="1934" t="s">
        <v>4673</v>
      </c>
      <c r="O132" s="1943"/>
      <c r="P132" s="1937"/>
      <c r="Q132" s="1937"/>
      <c r="AA132" s="2492">
        <v>132</v>
      </c>
    </row>
    <row r="133" spans="1:27" ht="14.45" customHeight="1">
      <c r="A133" s="1947"/>
      <c r="B133" s="1942"/>
      <c r="C133" s="1934" t="s">
        <v>1787</v>
      </c>
      <c r="J133" s="1943"/>
      <c r="K133" s="1937"/>
      <c r="L133" s="1937"/>
      <c r="M133" s="3704" t="s">
        <v>5164</v>
      </c>
      <c r="N133" s="3705"/>
      <c r="O133" s="3705"/>
      <c r="P133" s="3705"/>
      <c r="Q133" s="3706"/>
      <c r="AA133" s="2492">
        <v>133</v>
      </c>
    </row>
    <row r="134" spans="1:27" ht="14.45" customHeight="1">
      <c r="A134" s="1947"/>
      <c r="B134" s="1942"/>
      <c r="C134" s="1942" t="s">
        <v>4609</v>
      </c>
      <c r="E134" s="1942"/>
      <c r="F134" s="1942"/>
      <c r="G134" s="1942"/>
      <c r="H134" s="1942"/>
      <c r="J134" s="1943"/>
      <c r="K134" s="1937"/>
      <c r="L134" s="1937"/>
      <c r="M134" s="3688" t="s">
        <v>5165</v>
      </c>
      <c r="N134" s="3689"/>
      <c r="O134" s="3689"/>
      <c r="P134" s="3689"/>
      <c r="Q134" s="3690"/>
      <c r="AA134" s="2492">
        <v>134</v>
      </c>
    </row>
    <row r="135" spans="1:27" ht="14.45" customHeight="1">
      <c r="A135" s="1947"/>
      <c r="B135" s="1942"/>
      <c r="C135" s="3691" t="s">
        <v>4088</v>
      </c>
      <c r="D135" s="3692"/>
      <c r="E135" s="3692"/>
      <c r="F135" s="3692"/>
      <c r="G135" s="3692"/>
      <c r="H135" s="3692"/>
      <c r="I135" s="3692"/>
      <c r="J135" s="3692"/>
      <c r="K135" s="3692"/>
      <c r="L135" s="3692"/>
      <c r="M135" s="3693"/>
      <c r="N135" s="3693"/>
      <c r="O135" s="3693"/>
      <c r="P135" s="3693"/>
      <c r="Q135" s="3694"/>
      <c r="AA135" s="2493">
        <v>135</v>
      </c>
    </row>
    <row r="136" spans="1:27" ht="14.45" customHeight="1">
      <c r="A136" s="1947"/>
      <c r="B136" s="1942"/>
      <c r="C136" s="1942" t="s">
        <v>3660</v>
      </c>
      <c r="E136" s="1942"/>
      <c r="F136" s="1942"/>
      <c r="G136" s="1942"/>
      <c r="H136" s="1942"/>
      <c r="J136" s="1943"/>
      <c r="K136" s="1937"/>
      <c r="L136" s="1937"/>
      <c r="M136" s="3695" t="s">
        <v>5166</v>
      </c>
      <c r="N136" s="3696"/>
      <c r="O136" s="3696"/>
      <c r="P136" s="3696"/>
      <c r="Q136" s="3697"/>
      <c r="AA136" s="2492">
        <v>136</v>
      </c>
    </row>
    <row r="137" spans="1:27" ht="20.25" customHeight="1">
      <c r="A137" s="1947" t="s">
        <v>1838</v>
      </c>
      <c r="B137" s="3591" t="s">
        <v>4674</v>
      </c>
      <c r="C137" s="3591"/>
      <c r="D137" s="3591"/>
      <c r="E137" s="3591"/>
      <c r="F137" s="3591"/>
      <c r="G137" s="3591"/>
      <c r="H137" s="3591"/>
      <c r="I137" s="3591"/>
      <c r="J137" s="3591"/>
      <c r="K137" s="3591"/>
      <c r="L137" s="3591"/>
      <c r="M137" s="3591"/>
      <c r="N137" s="3591"/>
      <c r="O137" s="1943"/>
      <c r="P137" s="1976"/>
      <c r="Q137" s="1932"/>
      <c r="AA137" s="2492">
        <v>137</v>
      </c>
    </row>
    <row r="138" spans="1:27" ht="27.6" customHeight="1">
      <c r="A138" s="1963"/>
      <c r="B138" s="1940"/>
      <c r="C138" s="3591" t="s">
        <v>4675</v>
      </c>
      <c r="D138" s="3591"/>
      <c r="E138" s="3591"/>
      <c r="F138" s="3591"/>
      <c r="G138" s="3591"/>
      <c r="H138" s="3591"/>
      <c r="I138" s="3591"/>
      <c r="J138" s="3591"/>
      <c r="K138" s="3591"/>
      <c r="L138" s="3591"/>
      <c r="M138" s="3591"/>
      <c r="N138" s="3591"/>
      <c r="O138" s="3591"/>
      <c r="P138" s="3591"/>
      <c r="Q138" s="3591"/>
      <c r="AA138" s="2492">
        <v>138</v>
      </c>
    </row>
    <row r="139" spans="1:27" ht="15.75" customHeight="1">
      <c r="A139" s="1932"/>
      <c r="B139" s="1970" t="s">
        <v>1611</v>
      </c>
      <c r="C139" s="3698" t="s">
        <v>3724</v>
      </c>
      <c r="D139" s="3699"/>
      <c r="E139" s="3699"/>
      <c r="F139" s="3699"/>
      <c r="G139" s="3699"/>
      <c r="H139" s="3700"/>
      <c r="I139" s="1937"/>
      <c r="J139" s="3701" t="s">
        <v>4676</v>
      </c>
      <c r="K139" s="3702"/>
      <c r="L139" s="3702"/>
      <c r="M139" s="3702"/>
      <c r="N139" s="3702"/>
      <c r="O139" s="3702"/>
      <c r="P139" s="3702"/>
      <c r="Q139" s="3703"/>
      <c r="AA139" s="2492">
        <v>139</v>
      </c>
    </row>
    <row r="140" spans="1:27" ht="15.75" customHeight="1">
      <c r="A140" s="1932"/>
      <c r="B140" s="1970" t="s">
        <v>1612</v>
      </c>
      <c r="C140" s="3676" t="s">
        <v>3725</v>
      </c>
      <c r="D140" s="3677"/>
      <c r="E140" s="3677"/>
      <c r="F140" s="3677"/>
      <c r="G140" s="3677"/>
      <c r="H140" s="3678"/>
      <c r="I140" s="1937"/>
      <c r="J140" s="3679" t="s">
        <v>4676</v>
      </c>
      <c r="K140" s="3680"/>
      <c r="L140" s="3680"/>
      <c r="M140" s="3680"/>
      <c r="N140" s="3680"/>
      <c r="O140" s="3680"/>
      <c r="P140" s="3680"/>
      <c r="Q140" s="3681"/>
      <c r="AA140" s="2492">
        <v>140</v>
      </c>
    </row>
    <row r="141" spans="1:27" ht="15.75" customHeight="1">
      <c r="A141" s="1932"/>
      <c r="B141" s="1970" t="s">
        <v>1613</v>
      </c>
      <c r="C141" s="3676" t="s">
        <v>949</v>
      </c>
      <c r="D141" s="3677"/>
      <c r="E141" s="3677"/>
      <c r="F141" s="3677"/>
      <c r="G141" s="3677"/>
      <c r="H141" s="3678"/>
      <c r="I141" s="1937"/>
      <c r="J141" s="3679" t="s">
        <v>4676</v>
      </c>
      <c r="K141" s="3680"/>
      <c r="L141" s="3680"/>
      <c r="M141" s="3680"/>
      <c r="N141" s="3680"/>
      <c r="O141" s="3680"/>
      <c r="P141" s="3680"/>
      <c r="Q141" s="3681"/>
      <c r="AA141" s="2492">
        <v>141</v>
      </c>
    </row>
    <row r="142" spans="1:27" ht="15.75" customHeight="1">
      <c r="A142" s="1932"/>
      <c r="B142" s="1970" t="s">
        <v>2176</v>
      </c>
      <c r="C142" s="3682" t="s">
        <v>949</v>
      </c>
      <c r="D142" s="3683"/>
      <c r="E142" s="3683"/>
      <c r="F142" s="3683"/>
      <c r="G142" s="3683"/>
      <c r="H142" s="3684"/>
      <c r="I142" s="1937"/>
      <c r="J142" s="3685" t="s">
        <v>4676</v>
      </c>
      <c r="K142" s="3686"/>
      <c r="L142" s="3686"/>
      <c r="M142" s="3686"/>
      <c r="N142" s="3686"/>
      <c r="O142" s="3686"/>
      <c r="P142" s="3686"/>
      <c r="Q142" s="3687"/>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583" t="s">
        <v>5167</v>
      </c>
      <c r="B144" s="3583"/>
      <c r="C144" s="3583"/>
      <c r="D144" s="3583"/>
      <c r="E144" s="3583"/>
      <c r="F144" s="3583"/>
      <c r="G144" s="3583"/>
      <c r="H144" s="3583"/>
      <c r="I144" s="3583"/>
      <c r="J144" s="3583"/>
      <c r="K144" s="3583"/>
      <c r="L144" s="3583"/>
      <c r="M144" s="3583"/>
      <c r="N144" s="3583"/>
      <c r="O144" s="3583"/>
      <c r="P144" s="3583"/>
      <c r="Q144" s="366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6"/>
      <c r="B146" s="3586"/>
      <c r="C146" s="3586"/>
      <c r="D146" s="3586"/>
      <c r="E146" s="3586"/>
      <c r="F146" s="3586"/>
      <c r="G146" s="3586"/>
      <c r="H146" s="3586"/>
      <c r="I146" s="3586"/>
      <c r="J146" s="3586"/>
      <c r="K146" s="3586"/>
      <c r="L146" s="3586"/>
      <c r="M146" s="3586"/>
      <c r="N146" s="3586"/>
      <c r="O146" s="3586"/>
      <c r="P146" s="3586"/>
      <c r="Q146" s="3669"/>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3824</v>
      </c>
      <c r="C149" s="1933"/>
      <c r="D149" s="1933"/>
      <c r="E149" s="1933"/>
      <c r="F149" s="1933"/>
      <c r="G149" s="1933"/>
      <c r="H149" s="1940"/>
      <c r="I149" s="1940"/>
      <c r="J149" s="1940"/>
      <c r="K149" s="1940"/>
      <c r="L149" s="1977"/>
      <c r="M149" s="1978"/>
      <c r="O149" s="1936" t="s">
        <v>1726</v>
      </c>
      <c r="P149" s="3640"/>
      <c r="Q149" s="3670"/>
      <c r="AA149" s="2492">
        <v>149</v>
      </c>
    </row>
    <row r="150" spans="1:27" ht="20.25" customHeight="1">
      <c r="A150" s="1937"/>
      <c r="B150" s="1934" t="s">
        <v>4677</v>
      </c>
      <c r="C150" s="1937"/>
      <c r="D150" s="1937"/>
      <c r="E150" s="1937"/>
      <c r="F150" s="1937"/>
      <c r="G150" s="1937"/>
      <c r="H150" s="1937"/>
      <c r="I150" s="1937"/>
      <c r="J150" s="1937"/>
      <c r="K150" s="1937"/>
      <c r="L150" s="1937"/>
      <c r="M150" s="1937"/>
      <c r="N150" s="1935"/>
      <c r="O150" s="1937"/>
      <c r="P150" s="3603"/>
      <c r="Q150" s="3604"/>
      <c r="AA150" s="2492">
        <v>150</v>
      </c>
    </row>
    <row r="151" spans="1:27" ht="20.25" customHeight="1">
      <c r="A151" s="1947"/>
      <c r="B151" s="1934" t="s">
        <v>1190</v>
      </c>
      <c r="G151" s="1937"/>
      <c r="H151" s="3651"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53"/>
      <c r="I152" s="3674"/>
      <c r="J152" s="3674"/>
      <c r="K152" s="3674"/>
      <c r="L152" s="3674"/>
      <c r="M152" s="3674"/>
      <c r="N152" s="3674"/>
      <c r="O152" s="3674"/>
      <c r="P152" s="3674"/>
      <c r="Q152" s="3675"/>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583" t="s">
        <v>5168</v>
      </c>
      <c r="B154" s="3583"/>
      <c r="C154" s="3583"/>
      <c r="D154" s="3583"/>
      <c r="E154" s="3583"/>
      <c r="F154" s="3583"/>
      <c r="G154" s="3583"/>
      <c r="H154" s="3583"/>
      <c r="I154" s="3583"/>
      <c r="J154" s="3583"/>
      <c r="K154" s="3583"/>
      <c r="L154" s="3583"/>
      <c r="M154" s="3583"/>
      <c r="N154" s="3583"/>
      <c r="O154" s="3583"/>
      <c r="P154" s="3583"/>
      <c r="Q154" s="366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6"/>
      <c r="B156" s="3586"/>
      <c r="C156" s="3586"/>
      <c r="D156" s="3586"/>
      <c r="E156" s="3586"/>
      <c r="F156" s="3586"/>
      <c r="G156" s="3586"/>
      <c r="H156" s="3586"/>
      <c r="I156" s="3586"/>
      <c r="J156" s="3586"/>
      <c r="K156" s="3586"/>
      <c r="L156" s="3586"/>
      <c r="M156" s="3586"/>
      <c r="N156" s="3586"/>
      <c r="O156" s="3586"/>
      <c r="P156" s="3586"/>
      <c r="Q156" s="3669"/>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9"/>
      <c r="Q159" s="3597"/>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583" t="s">
        <v>5169</v>
      </c>
      <c r="B161" s="3583"/>
      <c r="C161" s="3583"/>
      <c r="D161" s="3583"/>
      <c r="E161" s="3583"/>
      <c r="F161" s="3583"/>
      <c r="G161" s="3583"/>
      <c r="H161" s="3583"/>
      <c r="I161" s="3583"/>
      <c r="J161" s="3583"/>
      <c r="K161" s="3583"/>
      <c r="L161" s="3583"/>
      <c r="M161" s="3583"/>
      <c r="N161" s="3583"/>
      <c r="O161" s="3583"/>
      <c r="P161" s="3583"/>
      <c r="Q161" s="366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6"/>
      <c r="B163" s="3586"/>
      <c r="C163" s="3586"/>
      <c r="D163" s="3586"/>
      <c r="E163" s="3586"/>
      <c r="F163" s="3586"/>
      <c r="G163" s="3586"/>
      <c r="H163" s="3586"/>
      <c r="I163" s="3586"/>
      <c r="J163" s="3586"/>
      <c r="K163" s="3586"/>
      <c r="L163" s="3586"/>
      <c r="M163" s="3586"/>
      <c r="N163" s="3586"/>
      <c r="O163" s="3586"/>
      <c r="P163" s="3586"/>
      <c r="Q163" s="3669"/>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9"/>
      <c r="Q166" s="3597"/>
      <c r="AA166" s="2492">
        <v>166</v>
      </c>
    </row>
    <row r="167" spans="1:27" ht="15" customHeight="1">
      <c r="A167" s="1947" t="s">
        <v>1836</v>
      </c>
      <c r="B167" s="1933" t="s">
        <v>4093</v>
      </c>
      <c r="G167" s="1937"/>
      <c r="J167" s="1937"/>
      <c r="K167" s="1937"/>
      <c r="L167" s="1937"/>
      <c r="M167" s="1937"/>
      <c r="N167" s="1937"/>
      <c r="O167" s="1943"/>
      <c r="P167" s="1937"/>
      <c r="Q167" s="1937"/>
      <c r="AA167" s="2492">
        <v>167</v>
      </c>
    </row>
    <row r="168" spans="1:27" ht="29.45" customHeight="1">
      <c r="B168" s="3594" t="s">
        <v>4999</v>
      </c>
      <c r="C168" s="3594"/>
      <c r="D168" s="3594"/>
      <c r="E168" s="3594"/>
      <c r="F168" s="3594"/>
      <c r="G168" s="3594"/>
      <c r="H168" s="3594"/>
      <c r="I168" s="3594"/>
      <c r="J168" s="3594"/>
      <c r="K168" s="3594"/>
      <c r="L168" s="3594"/>
      <c r="M168" s="3594"/>
      <c r="N168" s="3594"/>
      <c r="O168" s="3595"/>
      <c r="P168" s="3665" t="s">
        <v>5170</v>
      </c>
      <c r="Q168" s="3666"/>
      <c r="AA168" s="2492">
        <v>168</v>
      </c>
    </row>
    <row r="169" spans="1:27" ht="17.100000000000001" customHeight="1">
      <c r="A169" s="1947" t="s">
        <v>1838</v>
      </c>
      <c r="B169" s="1933" t="s">
        <v>297</v>
      </c>
      <c r="G169" s="1937"/>
      <c r="H169" s="3593" t="s">
        <v>3168</v>
      </c>
      <c r="I169" s="3593"/>
      <c r="J169" s="3593"/>
      <c r="K169" s="3593"/>
      <c r="L169" s="3593"/>
      <c r="M169" s="3593"/>
      <c r="N169" s="3593"/>
      <c r="O169" s="3593"/>
      <c r="P169" s="3667"/>
      <c r="Q169" s="3667"/>
      <c r="AA169" s="2492">
        <v>169</v>
      </c>
    </row>
    <row r="170" spans="1:27" ht="15" customHeight="1">
      <c r="B170" s="1954" t="s">
        <v>3154</v>
      </c>
      <c r="M170" s="1935"/>
      <c r="N170" s="1935"/>
      <c r="O170" s="1979"/>
      <c r="P170" s="1932"/>
      <c r="AA170" s="2492">
        <v>170</v>
      </c>
    </row>
    <row r="171" spans="1:27" ht="17.100000000000001" customHeight="1">
      <c r="A171" s="3583" t="s">
        <v>5171</v>
      </c>
      <c r="B171" s="3583"/>
      <c r="C171" s="3583"/>
      <c r="D171" s="3583"/>
      <c r="E171" s="3583"/>
      <c r="F171" s="3583"/>
      <c r="G171" s="3583"/>
      <c r="H171" s="3583"/>
      <c r="I171" s="3583"/>
      <c r="J171" s="3583"/>
      <c r="K171" s="3583"/>
      <c r="L171" s="3583"/>
      <c r="M171" s="3583"/>
      <c r="N171" s="3583"/>
      <c r="O171" s="3583"/>
      <c r="P171" s="3583"/>
      <c r="Q171" s="366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6"/>
      <c r="B173" s="3586"/>
      <c r="C173" s="3586"/>
      <c r="D173" s="3586"/>
      <c r="E173" s="3586"/>
      <c r="F173" s="3586"/>
      <c r="G173" s="3586"/>
      <c r="H173" s="3586"/>
      <c r="I173" s="3586"/>
      <c r="J173" s="3586"/>
      <c r="K173" s="3586"/>
      <c r="L173" s="3586"/>
      <c r="M173" s="3586"/>
      <c r="N173" s="3586"/>
      <c r="O173" s="3586"/>
      <c r="P173" s="3586"/>
      <c r="Q173" s="3639"/>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40"/>
      <c r="Q176" s="3641"/>
      <c r="AA176" s="2492">
        <v>176</v>
      </c>
    </row>
    <row r="177" spans="1:27" ht="15" customHeight="1">
      <c r="A177" s="1937"/>
      <c r="B177" s="1934" t="s">
        <v>4677</v>
      </c>
      <c r="C177" s="1937"/>
      <c r="D177" s="1937"/>
      <c r="E177" s="1937"/>
      <c r="F177" s="1937"/>
      <c r="G177" s="1937"/>
      <c r="H177" s="1937"/>
      <c r="I177" s="1937"/>
      <c r="J177" s="1937"/>
      <c r="K177" s="1937"/>
      <c r="L177" s="1937"/>
      <c r="M177" s="1937"/>
      <c r="N177" s="1935"/>
      <c r="O177" s="1937"/>
      <c r="P177" s="3603" t="s">
        <v>2644</v>
      </c>
      <c r="Q177" s="3656"/>
      <c r="AA177" s="2492">
        <v>177</v>
      </c>
    </row>
    <row r="178" spans="1:27" ht="30.6" customHeight="1">
      <c r="A178" s="1937"/>
      <c r="B178" s="3591" t="s">
        <v>5000</v>
      </c>
      <c r="C178" s="3591"/>
      <c r="D178" s="3591"/>
      <c r="E178" s="3591"/>
      <c r="F178" s="3591"/>
      <c r="G178" s="3591"/>
      <c r="H178" s="3591"/>
      <c r="I178" s="3591"/>
      <c r="J178" s="3591"/>
      <c r="K178" s="3591"/>
      <c r="L178" s="3591"/>
      <c r="M178" s="3591"/>
      <c r="N178" s="3591"/>
      <c r="O178" s="3591"/>
      <c r="P178" s="3608" t="s">
        <v>5170</v>
      </c>
      <c r="Q178" s="3609"/>
      <c r="AA178" s="2492">
        <v>178</v>
      </c>
    </row>
    <row r="179" spans="1:27" ht="15">
      <c r="A179" s="1947" t="s">
        <v>1836</v>
      </c>
      <c r="B179" s="1941" t="s">
        <v>5018</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4" t="s">
        <v>5034</v>
      </c>
      <c r="C180" s="3594"/>
      <c r="D180" s="3594"/>
      <c r="E180" s="3594"/>
      <c r="F180" s="3594"/>
      <c r="G180" s="3594"/>
      <c r="H180" s="3594"/>
      <c r="I180" s="3594"/>
      <c r="J180" s="3594"/>
      <c r="K180" s="3594"/>
      <c r="L180" s="3594"/>
      <c r="M180" s="3594"/>
      <c r="N180" s="3594"/>
      <c r="O180" s="3594"/>
      <c r="P180" s="1943"/>
      <c r="Q180" s="1943"/>
      <c r="AA180" s="2493">
        <v>180</v>
      </c>
    </row>
    <row r="181" spans="1:27" ht="28.5" customHeight="1">
      <c r="A181" s="1937"/>
      <c r="B181" s="1937"/>
      <c r="C181" s="1968"/>
      <c r="D181" s="3594" t="s">
        <v>5035</v>
      </c>
      <c r="E181" s="3594"/>
      <c r="F181" s="3594"/>
      <c r="G181" s="3594"/>
      <c r="H181" s="3594"/>
      <c r="I181" s="3594"/>
      <c r="J181" s="3594"/>
      <c r="K181" s="3594"/>
      <c r="L181" s="3594"/>
      <c r="M181" s="3594"/>
      <c r="N181" s="3594"/>
      <c r="O181" s="3594"/>
      <c r="P181" s="3663">
        <f>'Part VIII Scoring Criteria'!O105</f>
        <v>0</v>
      </c>
      <c r="Q181" s="3664"/>
      <c r="AA181" s="2493"/>
    </row>
    <row r="182" spans="1:27" ht="12" customHeight="1">
      <c r="A182" s="1937"/>
      <c r="C182" s="1937"/>
      <c r="D182" s="1937"/>
      <c r="E182" s="1937"/>
      <c r="F182" s="1937"/>
      <c r="G182" s="1937"/>
      <c r="H182" s="1937"/>
      <c r="I182" s="1937"/>
      <c r="J182" s="1937"/>
      <c r="K182" s="1937"/>
      <c r="L182" s="3662" t="s">
        <v>4678</v>
      </c>
      <c r="M182" s="3662"/>
      <c r="N182" s="1935"/>
      <c r="O182" s="1937"/>
      <c r="P182" s="1976"/>
      <c r="Q182" s="1932"/>
      <c r="AA182" s="2492">
        <v>181</v>
      </c>
    </row>
    <row r="183" spans="1:27" ht="17.100000000000001" customHeight="1">
      <c r="A183" s="1947" t="s">
        <v>1838</v>
      </c>
      <c r="B183" s="1941" t="s">
        <v>4793</v>
      </c>
      <c r="D183" s="1981"/>
      <c r="E183" s="1981"/>
      <c r="F183" s="1981"/>
      <c r="G183" s="1981"/>
      <c r="H183" s="1981"/>
      <c r="I183" s="1981"/>
      <c r="J183" s="1981"/>
      <c r="K183" s="1981"/>
      <c r="L183" s="1934" t="s">
        <v>4679</v>
      </c>
      <c r="M183" s="1935" t="s">
        <v>4680</v>
      </c>
      <c r="N183" s="1981"/>
      <c r="O183" s="1943"/>
      <c r="P183" s="1943"/>
      <c r="Q183" s="1943"/>
      <c r="AA183" s="2492">
        <v>182</v>
      </c>
    </row>
    <row r="184" spans="1:27" ht="15" customHeight="1">
      <c r="A184" s="1947"/>
      <c r="B184" s="1934" t="s">
        <v>4681</v>
      </c>
      <c r="C184" s="1937"/>
      <c r="D184" s="1950"/>
      <c r="E184" s="1950"/>
      <c r="F184" s="1950"/>
      <c r="G184" s="1950"/>
      <c r="H184" s="1937"/>
      <c r="K184" s="1982"/>
      <c r="L184" s="1983">
        <f>ROUNDUP('Part V-Revenues &amp; Expenses'!$P$67*M184,0)</f>
        <v>4</v>
      </c>
      <c r="M184" s="1984">
        <f>'DCA Underwriting Assumptions'!$Q$147</f>
        <v>0.05</v>
      </c>
      <c r="N184" s="2085" t="s">
        <v>4794</v>
      </c>
      <c r="O184" s="1943"/>
      <c r="P184" s="3603">
        <v>4</v>
      </c>
      <c r="Q184" s="3656"/>
      <c r="AA184" s="2492">
        <v>183</v>
      </c>
    </row>
    <row r="185" spans="1:27" ht="15" customHeight="1">
      <c r="A185" s="1947"/>
      <c r="B185" s="1942"/>
      <c r="D185" s="3591" t="s">
        <v>4795</v>
      </c>
      <c r="E185" s="3591"/>
      <c r="F185" s="3591"/>
      <c r="G185" s="3591"/>
      <c r="H185" s="3591"/>
      <c r="I185" s="3591"/>
      <c r="J185" s="3591"/>
      <c r="K185" s="1982"/>
      <c r="L185" s="1985">
        <f>ROUNDUP(L184*M185,0)</f>
        <v>2</v>
      </c>
      <c r="M185" s="1984">
        <f>'DCA Underwriting Assumptions'!$Q$148</f>
        <v>0.4</v>
      </c>
      <c r="N185" s="2085" t="s">
        <v>4796</v>
      </c>
      <c r="O185" s="1943"/>
      <c r="P185" s="3605">
        <v>2</v>
      </c>
      <c r="Q185" s="3658"/>
      <c r="AA185" s="2492">
        <v>184</v>
      </c>
    </row>
    <row r="186" spans="1:27" ht="15" customHeight="1">
      <c r="A186" s="1947"/>
      <c r="B186" s="3591" t="s">
        <v>4682</v>
      </c>
      <c r="C186" s="3591"/>
      <c r="D186" s="3591"/>
      <c r="E186" s="3591"/>
      <c r="F186" s="3591"/>
      <c r="G186" s="3591"/>
      <c r="H186" s="3591"/>
      <c r="I186" s="3591"/>
      <c r="J186" s="3591"/>
      <c r="K186" s="1937"/>
      <c r="L186" s="1986">
        <f>ROUNDUP('Part V-Revenues &amp; Expenses'!$P$67*M186,0)</f>
        <v>2</v>
      </c>
      <c r="M186" s="1984">
        <f>'DCA Underwriting Assumptions'!$Q$149</f>
        <v>0.02</v>
      </c>
      <c r="N186" s="2085" t="s">
        <v>4794</v>
      </c>
      <c r="O186" s="1943"/>
      <c r="P186" s="3608">
        <v>2</v>
      </c>
      <c r="Q186" s="3657"/>
      <c r="AA186" s="2492">
        <v>185</v>
      </c>
    </row>
    <row r="187" spans="1:27" ht="15" customHeight="1">
      <c r="A187" s="1947" t="s">
        <v>697</v>
      </c>
      <c r="B187" s="1941" t="s">
        <v>4797</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4800</v>
      </c>
      <c r="G188" s="1937"/>
      <c r="M188" s="3659" t="s">
        <v>5194</v>
      </c>
      <c r="N188" s="3660"/>
      <c r="O188" s="3660"/>
      <c r="P188" s="3660"/>
      <c r="Q188" s="3661"/>
      <c r="AA188" s="2492">
        <v>187</v>
      </c>
    </row>
    <row r="189" spans="1:27" ht="15.6" customHeight="1">
      <c r="A189" s="1947"/>
      <c r="C189" s="1937"/>
      <c r="D189" s="1934" t="s">
        <v>4798</v>
      </c>
      <c r="O189" s="1943"/>
      <c r="P189" s="1962" t="s">
        <v>2644</v>
      </c>
      <c r="Q189" s="1955"/>
      <c r="R189" s="1943"/>
      <c r="AA189" s="2492">
        <v>188</v>
      </c>
    </row>
    <row r="190" spans="1:27" ht="15.6" customHeight="1">
      <c r="A190" s="1947"/>
      <c r="C190" s="1937"/>
      <c r="D190" s="1934" t="s">
        <v>4799</v>
      </c>
      <c r="O190" s="1943"/>
      <c r="P190" s="1959" t="s">
        <v>2644</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3" t="s">
        <v>5214</v>
      </c>
      <c r="B192" s="3583"/>
      <c r="C192" s="3583"/>
      <c r="D192" s="3583"/>
      <c r="E192" s="3583"/>
      <c r="F192" s="3583"/>
      <c r="G192" s="3583"/>
      <c r="H192" s="3583"/>
      <c r="I192" s="3583"/>
      <c r="J192" s="3583"/>
      <c r="K192" s="3583"/>
      <c r="L192" s="3583"/>
      <c r="M192" s="3583"/>
      <c r="N192" s="3583"/>
      <c r="O192" s="3583"/>
      <c r="P192" s="3583"/>
      <c r="Q192" s="365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6"/>
      <c r="B194" s="3586"/>
      <c r="C194" s="3586"/>
      <c r="D194" s="3586"/>
      <c r="E194" s="3586"/>
      <c r="F194" s="3586"/>
      <c r="G194" s="3586"/>
      <c r="H194" s="3586"/>
      <c r="I194" s="3586"/>
      <c r="J194" s="3586"/>
      <c r="K194" s="3586"/>
      <c r="L194" s="3586"/>
      <c r="M194" s="3586"/>
      <c r="N194" s="3586"/>
      <c r="O194" s="3586"/>
      <c r="P194" s="3586"/>
      <c r="Q194" s="3639"/>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589"/>
      <c r="Q197" s="3638"/>
      <c r="AA197" s="2492">
        <v>196</v>
      </c>
    </row>
    <row r="198" spans="1:27" ht="15" customHeight="1">
      <c r="B198" s="1934" t="s">
        <v>4677</v>
      </c>
      <c r="P198" s="3603" t="s">
        <v>2644</v>
      </c>
      <c r="Q198" s="3656"/>
      <c r="AA198" s="2492">
        <v>197</v>
      </c>
    </row>
    <row r="199" spans="1:27" ht="28.5" customHeight="1">
      <c r="B199" s="3591" t="s">
        <v>5001</v>
      </c>
      <c r="C199" s="3591"/>
      <c r="D199" s="3591"/>
      <c r="E199" s="3591"/>
      <c r="F199" s="3591"/>
      <c r="G199" s="3591"/>
      <c r="H199" s="3591"/>
      <c r="I199" s="3591"/>
      <c r="J199" s="3591"/>
      <c r="K199" s="3591"/>
      <c r="L199" s="3591"/>
      <c r="M199" s="3591"/>
      <c r="N199" s="3591"/>
      <c r="P199" s="3608" t="s">
        <v>2641</v>
      </c>
      <c r="Q199" s="3657"/>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4" t="s">
        <v>4732</v>
      </c>
      <c r="D201" s="3594"/>
      <c r="E201" s="3594"/>
      <c r="F201" s="3648" t="s">
        <v>4200</v>
      </c>
      <c r="G201" s="3649"/>
      <c r="H201" s="3649"/>
      <c r="I201" s="3649"/>
      <c r="J201" s="3649"/>
      <c r="K201" s="3649"/>
      <c r="L201" s="3649"/>
      <c r="M201" s="3649"/>
      <c r="N201" s="3649"/>
      <c r="O201" s="3649"/>
      <c r="P201" s="3649"/>
      <c r="Q201" s="3650"/>
      <c r="AA201" s="2492">
        <v>200</v>
      </c>
    </row>
    <row r="202" spans="1:27" ht="30" customHeight="1">
      <c r="B202" s="1970" t="s">
        <v>1612</v>
      </c>
      <c r="C202" s="3594" t="s">
        <v>4733</v>
      </c>
      <c r="D202" s="3594"/>
      <c r="E202" s="3594"/>
      <c r="F202" s="3594"/>
      <c r="G202" s="3595"/>
      <c r="H202" s="3648" t="s">
        <v>3163</v>
      </c>
      <c r="I202" s="3649"/>
      <c r="J202" s="3649"/>
      <c r="K202" s="3649"/>
      <c r="L202" s="3649"/>
      <c r="M202" s="3649"/>
      <c r="N202" s="3649"/>
      <c r="O202" s="3649"/>
      <c r="P202" s="3649"/>
      <c r="Q202" s="3650"/>
      <c r="AA202" s="2492">
        <v>201</v>
      </c>
    </row>
    <row r="203" spans="1:27" ht="20.25" customHeight="1">
      <c r="A203" s="1947"/>
      <c r="B203" s="1970" t="s">
        <v>1613</v>
      </c>
      <c r="C203" s="3591" t="s">
        <v>4683</v>
      </c>
      <c r="D203" s="3591"/>
      <c r="E203" s="3591"/>
      <c r="F203" s="3591"/>
      <c r="G203" s="3591"/>
      <c r="H203" s="3591"/>
      <c r="I203" s="3591"/>
      <c r="J203" s="3591"/>
      <c r="K203" s="3591"/>
      <c r="L203" s="3591"/>
      <c r="M203" s="3591"/>
      <c r="N203" s="3591"/>
      <c r="O203" s="3591"/>
      <c r="P203" s="3591"/>
      <c r="Q203" s="3591"/>
      <c r="AA203" s="2492">
        <v>202</v>
      </c>
    </row>
    <row r="204" spans="1:27" ht="15.6" customHeight="1">
      <c r="A204" s="1947"/>
      <c r="B204" s="1943"/>
      <c r="C204" s="3651"/>
      <c r="D204" s="3651"/>
      <c r="E204" s="3651"/>
      <c r="F204" s="3651"/>
      <c r="G204" s="3651"/>
      <c r="H204" s="3651"/>
      <c r="I204" s="3651"/>
      <c r="J204" s="3651"/>
      <c r="K204" s="3651"/>
      <c r="L204" s="3651"/>
      <c r="M204" s="3651"/>
      <c r="N204" s="3651"/>
      <c r="O204" s="3651"/>
      <c r="P204" s="3651"/>
      <c r="Q204" s="3652"/>
      <c r="AA204" s="2492">
        <v>203</v>
      </c>
    </row>
    <row r="205" spans="1:27" ht="15.6" customHeight="1">
      <c r="A205" s="1947"/>
      <c r="B205" s="1943"/>
      <c r="C205" s="3653"/>
      <c r="D205" s="3653"/>
      <c r="E205" s="3653"/>
      <c r="F205" s="3653"/>
      <c r="G205" s="3653"/>
      <c r="H205" s="3653"/>
      <c r="I205" s="3653"/>
      <c r="J205" s="3653"/>
      <c r="K205" s="3653"/>
      <c r="L205" s="3653"/>
      <c r="M205" s="3653"/>
      <c r="N205" s="3653"/>
      <c r="O205" s="3653"/>
      <c r="P205" s="3653"/>
      <c r="Q205" s="3654"/>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583" t="s">
        <v>5172</v>
      </c>
      <c r="B207" s="3583"/>
      <c r="C207" s="3583"/>
      <c r="D207" s="3583"/>
      <c r="E207" s="3583"/>
      <c r="F207" s="3583"/>
      <c r="G207" s="3583"/>
      <c r="H207" s="3583"/>
      <c r="I207" s="3583"/>
      <c r="J207" s="3583"/>
      <c r="K207" s="3583"/>
      <c r="L207" s="3583"/>
      <c r="M207" s="3583"/>
      <c r="N207" s="3583"/>
      <c r="O207" s="3583"/>
      <c r="P207" s="3583"/>
      <c r="Q207" s="365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6"/>
      <c r="B209" s="3586"/>
      <c r="C209" s="3586"/>
      <c r="D209" s="3586"/>
      <c r="E209" s="3586"/>
      <c r="F209" s="3586"/>
      <c r="G209" s="3586"/>
      <c r="H209" s="3586"/>
      <c r="I209" s="3586"/>
      <c r="J209" s="3586"/>
      <c r="K209" s="3586"/>
      <c r="L209" s="3586"/>
      <c r="M209" s="3586"/>
      <c r="N209" s="3586"/>
      <c r="O209" s="3586"/>
      <c r="P209" s="3586"/>
      <c r="Q209" s="3639"/>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4801</v>
      </c>
      <c r="C212" s="1941"/>
      <c r="D212" s="1940"/>
      <c r="E212" s="1940"/>
      <c r="F212" s="1940"/>
      <c r="G212" s="1940"/>
      <c r="H212" s="1940"/>
      <c r="N212" s="1961"/>
      <c r="O212" s="1936" t="s">
        <v>1726</v>
      </c>
      <c r="P212" s="3640"/>
      <c r="Q212" s="3641"/>
      <c r="AA212" s="2492">
        <v>211</v>
      </c>
    </row>
    <row r="213" spans="1:27" ht="15" customHeight="1">
      <c r="A213" s="1947"/>
      <c r="B213" s="1934" t="s">
        <v>4791</v>
      </c>
      <c r="O213" s="1943"/>
      <c r="P213" s="3642" t="s">
        <v>5173</v>
      </c>
      <c r="Q213" s="3643"/>
      <c r="AA213" s="2492">
        <v>212</v>
      </c>
    </row>
    <row r="214" spans="1:27" ht="15" customHeight="1">
      <c r="A214" s="1947"/>
      <c r="B214" s="1934" t="s">
        <v>4802</v>
      </c>
      <c r="O214" s="1943"/>
      <c r="P214" s="3644" t="s">
        <v>5173</v>
      </c>
      <c r="Q214" s="3645"/>
      <c r="AA214" s="2492">
        <v>213</v>
      </c>
    </row>
    <row r="215" spans="1:27" ht="15" customHeight="1">
      <c r="A215" s="1947"/>
      <c r="B215" s="1934" t="s">
        <v>4803</v>
      </c>
      <c r="C215" s="1937"/>
      <c r="K215" s="1935"/>
      <c r="M215" s="1943"/>
      <c r="O215" s="1988"/>
      <c r="P215" s="3644" t="s">
        <v>2644</v>
      </c>
      <c r="Q215" s="3645"/>
      <c r="AA215" s="2492">
        <v>214</v>
      </c>
    </row>
    <row r="216" spans="1:27" ht="29.45" customHeight="1">
      <c r="A216" s="1947"/>
      <c r="B216" s="3591" t="s">
        <v>4804</v>
      </c>
      <c r="C216" s="3591"/>
      <c r="D216" s="3591"/>
      <c r="E216" s="3591"/>
      <c r="F216" s="3591"/>
      <c r="G216" s="3591"/>
      <c r="H216" s="3591"/>
      <c r="I216" s="3591"/>
      <c r="J216" s="3591"/>
      <c r="K216" s="3591"/>
      <c r="L216" s="3591"/>
      <c r="M216" s="3591"/>
      <c r="N216" s="3591"/>
      <c r="O216" s="3591"/>
      <c r="P216" s="3646" t="s">
        <v>2644</v>
      </c>
      <c r="Q216" s="3647"/>
      <c r="AA216" s="2492">
        <v>215</v>
      </c>
    </row>
    <row r="217" spans="1:27" ht="15.6" customHeight="1">
      <c r="A217" s="1947"/>
      <c r="B217" s="1934" t="s">
        <v>4805</v>
      </c>
      <c r="M217" s="1937"/>
      <c r="N217" s="1937"/>
      <c r="O217" s="3630" t="s">
        <v>5046</v>
      </c>
      <c r="P217" s="3631"/>
      <c r="Q217" s="3632"/>
      <c r="AA217" s="2493">
        <v>216</v>
      </c>
    </row>
    <row r="218" spans="1:27" ht="15.6" customHeight="1">
      <c r="A218" s="1947"/>
      <c r="B218" s="1933" t="s">
        <v>4684</v>
      </c>
      <c r="G218" s="3589"/>
      <c r="H218" s="3633"/>
      <c r="I218" s="3633"/>
      <c r="J218" s="3633"/>
      <c r="K218" s="3633"/>
      <c r="L218" s="3590"/>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20.25" customHeight="1">
      <c r="A220" s="3627" t="s">
        <v>5195</v>
      </c>
      <c r="B220" s="3634"/>
      <c r="C220" s="3634"/>
      <c r="D220" s="3634"/>
      <c r="E220" s="3634"/>
      <c r="F220" s="3634"/>
      <c r="G220" s="3634"/>
      <c r="H220" s="3634"/>
      <c r="I220" s="3634"/>
      <c r="J220" s="3634"/>
      <c r="K220" s="3634"/>
      <c r="L220" s="3634"/>
      <c r="M220" s="3634"/>
      <c r="N220" s="3634"/>
      <c r="O220" s="3634"/>
      <c r="P220" s="3634"/>
      <c r="Q220" s="3635"/>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5"/>
      <c r="B222" s="3636"/>
      <c r="C222" s="3636"/>
      <c r="D222" s="3636"/>
      <c r="E222" s="3636"/>
      <c r="F222" s="3636"/>
      <c r="G222" s="3636"/>
      <c r="H222" s="3636"/>
      <c r="I222" s="3636"/>
      <c r="J222" s="3636"/>
      <c r="K222" s="3636"/>
      <c r="L222" s="3636"/>
      <c r="M222" s="3636"/>
      <c r="N222" s="3636"/>
      <c r="O222" s="3636"/>
      <c r="P222" s="3636"/>
      <c r="Q222" s="3637"/>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4432</v>
      </c>
      <c r="C225" s="1933"/>
      <c r="D225" s="1933"/>
      <c r="E225" s="1933"/>
      <c r="F225" s="1933"/>
      <c r="G225" s="1933"/>
      <c r="H225" s="1940"/>
      <c r="I225" s="1940"/>
      <c r="J225" s="1940"/>
      <c r="K225" s="1940"/>
      <c r="L225" s="1940"/>
      <c r="M225" s="1940"/>
      <c r="N225" s="1989"/>
      <c r="O225" s="1936" t="s">
        <v>1726</v>
      </c>
      <c r="P225" s="3589"/>
      <c r="Q225" s="3638"/>
      <c r="AA225" s="2492">
        <v>224</v>
      </c>
    </row>
    <row r="226" spans="1:28" ht="33.75" customHeight="1">
      <c r="A226" s="1941"/>
      <c r="B226" s="3591" t="s">
        <v>4685</v>
      </c>
      <c r="C226" s="3591"/>
      <c r="D226" s="3591"/>
      <c r="E226" s="3591"/>
      <c r="F226" s="3591"/>
      <c r="G226" s="3591"/>
      <c r="H226" s="3591"/>
      <c r="I226" s="3591"/>
      <c r="J226" s="3591"/>
      <c r="K226" s="3591"/>
      <c r="L226" s="3591"/>
      <c r="M226" s="3591"/>
      <c r="N226" s="3591"/>
      <c r="O226" s="3592"/>
      <c r="P226" s="3600"/>
      <c r="Q226" s="3601"/>
      <c r="AA226" s="2493">
        <v>225</v>
      </c>
    </row>
    <row r="227" spans="1:28" s="1990" customFormat="1" ht="15">
      <c r="A227" s="1963" t="s">
        <v>1836</v>
      </c>
      <c r="B227" s="2087" t="s">
        <v>4807</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4806</v>
      </c>
      <c r="D228" s="2060"/>
      <c r="E228" s="2060"/>
      <c r="G228" s="3594" t="s">
        <v>5002</v>
      </c>
      <c r="H228" s="3594"/>
      <c r="I228" s="3594"/>
      <c r="J228" s="3594"/>
      <c r="K228" s="3594"/>
      <c r="L228" s="3594"/>
      <c r="M228" s="3594"/>
      <c r="N228" s="3594"/>
      <c r="O228" s="3595"/>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4" t="s">
        <v>4808</v>
      </c>
      <c r="D229" s="3594"/>
      <c r="E229" s="3594"/>
      <c r="F229" s="3594"/>
      <c r="G229" s="3594" t="s">
        <v>5003</v>
      </c>
      <c r="H229" s="3594"/>
      <c r="I229" s="3594"/>
      <c r="J229" s="3594"/>
      <c r="K229" s="3594"/>
      <c r="L229" s="3594"/>
      <c r="M229" s="3594"/>
      <c r="N229" s="3594"/>
      <c r="O229" s="3595"/>
      <c r="P229" s="2089"/>
      <c r="Q229" s="1960"/>
      <c r="R229" s="2056"/>
      <c r="S229" s="2056"/>
      <c r="T229" s="2056"/>
      <c r="U229" s="2056"/>
      <c r="V229" s="2056"/>
      <c r="W229" s="2056"/>
      <c r="X229" s="2056"/>
      <c r="Y229" s="2056"/>
      <c r="Z229" s="2056"/>
      <c r="AA229" s="2492">
        <v>228</v>
      </c>
      <c r="AB229" s="2056"/>
    </row>
    <row r="230" spans="1:28" ht="44.25" customHeight="1">
      <c r="A230" s="1963" t="s">
        <v>1838</v>
      </c>
      <c r="B230" s="3594" t="s">
        <v>4809</v>
      </c>
      <c r="C230" s="3594"/>
      <c r="D230" s="3594"/>
      <c r="E230" s="3594"/>
      <c r="F230" s="3594"/>
      <c r="G230" s="3594"/>
      <c r="H230" s="3594"/>
      <c r="I230" s="3594"/>
      <c r="J230" s="3594"/>
      <c r="K230" s="3594"/>
      <c r="L230" s="3594"/>
      <c r="M230" s="3594"/>
      <c r="N230" s="3594"/>
      <c r="O230" s="3594"/>
      <c r="P230" s="2092"/>
      <c r="Q230" s="2091"/>
      <c r="AA230" s="2492">
        <v>229</v>
      </c>
    </row>
    <row r="231" spans="1:28" ht="20.25" customHeight="1">
      <c r="A231" s="1947" t="s">
        <v>697</v>
      </c>
      <c r="B231" s="1934" t="s">
        <v>4810</v>
      </c>
      <c r="G231" s="1934" t="s">
        <v>4811</v>
      </c>
      <c r="P231" s="2092"/>
      <c r="Q231" s="2091"/>
      <c r="AA231" s="2492">
        <v>230</v>
      </c>
    </row>
    <row r="232" spans="1:28" ht="45" customHeight="1">
      <c r="A232" s="1963" t="s">
        <v>1957</v>
      </c>
      <c r="B232" s="3594" t="s">
        <v>4686</v>
      </c>
      <c r="C232" s="3594"/>
      <c r="D232" s="3594"/>
      <c r="E232" s="3594"/>
      <c r="F232" s="3594"/>
      <c r="G232" s="3594"/>
      <c r="H232" s="3594"/>
      <c r="I232" s="3594"/>
      <c r="J232" s="3594"/>
      <c r="K232" s="3594"/>
      <c r="L232" s="3594"/>
      <c r="M232" s="3594"/>
      <c r="N232" s="3594"/>
      <c r="O232" s="3594"/>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7" t="s">
        <v>5154</v>
      </c>
      <c r="B234" s="3628"/>
      <c r="C234" s="3628"/>
      <c r="D234" s="3628"/>
      <c r="E234" s="3628"/>
      <c r="F234" s="3628"/>
      <c r="G234" s="3628"/>
      <c r="H234" s="3628"/>
      <c r="I234" s="3628"/>
      <c r="J234" s="3628"/>
      <c r="K234" s="3628"/>
      <c r="L234" s="3628"/>
      <c r="M234" s="3628"/>
      <c r="N234" s="3628"/>
      <c r="O234" s="3628"/>
      <c r="P234" s="3628"/>
      <c r="Q234" s="3629"/>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5"/>
      <c r="B236" s="3616"/>
      <c r="C236" s="3616"/>
      <c r="D236" s="3616"/>
      <c r="E236" s="3616"/>
      <c r="F236" s="3616"/>
      <c r="G236" s="3616"/>
      <c r="H236" s="3616"/>
      <c r="I236" s="3616"/>
      <c r="J236" s="3616"/>
      <c r="K236" s="3616"/>
      <c r="L236" s="3616"/>
      <c r="M236" s="3616"/>
      <c r="N236" s="3616"/>
      <c r="O236" s="3616"/>
      <c r="P236" s="3616"/>
      <c r="Q236" s="3617"/>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589"/>
      <c r="Q239" s="3590"/>
      <c r="AA239" s="2492">
        <v>238</v>
      </c>
    </row>
    <row r="240" spans="1:28" ht="20.25" customHeight="1">
      <c r="A240" s="1947"/>
      <c r="B240" s="3618" t="s">
        <v>3269</v>
      </c>
      <c r="C240" s="3618"/>
      <c r="D240" s="3618"/>
      <c r="E240" s="3618"/>
      <c r="F240" s="3619"/>
      <c r="G240" s="3620"/>
      <c r="H240" s="3621"/>
      <c r="I240" s="3621"/>
      <c r="J240" s="3621"/>
      <c r="K240" s="3621"/>
      <c r="L240" s="3621"/>
      <c r="M240" s="3621"/>
      <c r="N240" s="3621"/>
      <c r="O240" s="3621"/>
      <c r="P240" s="3621"/>
      <c r="Q240" s="3622"/>
      <c r="AA240" s="2492">
        <v>239</v>
      </c>
    </row>
    <row r="241" spans="1:27" ht="20.25" customHeight="1" thickBot="1">
      <c r="A241" s="1947"/>
      <c r="B241" s="3618" t="s">
        <v>3270</v>
      </c>
      <c r="C241" s="3618"/>
      <c r="D241" s="3618"/>
      <c r="E241" s="3618"/>
      <c r="F241" s="3619"/>
      <c r="G241" s="3623"/>
      <c r="H241" s="3624"/>
      <c r="I241" s="3624"/>
      <c r="J241" s="3624"/>
      <c r="K241" s="3624"/>
      <c r="L241" s="3624"/>
      <c r="M241" s="3624"/>
      <c r="N241" s="3624"/>
      <c r="O241" s="3624"/>
      <c r="P241" s="3625"/>
      <c r="Q241" s="3626"/>
      <c r="AA241" s="2492">
        <v>240</v>
      </c>
    </row>
    <row r="242" spans="1:27" ht="30" customHeight="1" thickBot="1">
      <c r="A242" s="1947"/>
      <c r="B242" s="3594" t="s">
        <v>5004</v>
      </c>
      <c r="C242" s="3594"/>
      <c r="D242" s="3594"/>
      <c r="E242" s="3594"/>
      <c r="F242" s="3594"/>
      <c r="G242" s="3594"/>
      <c r="H242" s="3594"/>
      <c r="I242" s="3594"/>
      <c r="J242" s="3594"/>
      <c r="K242" s="3594"/>
      <c r="L242" s="3594"/>
      <c r="M242" s="3594"/>
      <c r="N242" s="3594"/>
      <c r="O242" s="3612"/>
      <c r="P242" s="3613"/>
      <c r="Q242" s="3614"/>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583" t="s">
        <v>5174</v>
      </c>
      <c r="B244" s="3584"/>
      <c r="C244" s="3584"/>
      <c r="D244" s="3584"/>
      <c r="E244" s="3584"/>
      <c r="F244" s="3584"/>
      <c r="G244" s="3584"/>
      <c r="H244" s="3584"/>
      <c r="I244" s="3584"/>
      <c r="J244" s="3584"/>
      <c r="K244" s="3584"/>
      <c r="L244" s="3584"/>
      <c r="M244" s="3584"/>
      <c r="N244" s="3584"/>
      <c r="O244" s="3584"/>
      <c r="P244" s="3584"/>
      <c r="Q244" s="358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6"/>
      <c r="B246" s="3587"/>
      <c r="C246" s="3587"/>
      <c r="D246" s="3587"/>
      <c r="E246" s="3587"/>
      <c r="F246" s="3587"/>
      <c r="G246" s="3587"/>
      <c r="H246" s="3587"/>
      <c r="I246" s="3587"/>
      <c r="J246" s="3587"/>
      <c r="K246" s="3587"/>
      <c r="L246" s="3587"/>
      <c r="M246" s="3587"/>
      <c r="N246" s="3587"/>
      <c r="O246" s="3587"/>
      <c r="P246" s="3587"/>
      <c r="Q246" s="358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589"/>
      <c r="Q249" s="3590"/>
      <c r="AA249" s="2492">
        <v>248</v>
      </c>
    </row>
    <row r="250" spans="1:27" ht="15.6" customHeight="1">
      <c r="A250" s="1947"/>
      <c r="B250" s="1934" t="s">
        <v>2431</v>
      </c>
      <c r="D250" s="1950"/>
      <c r="E250" s="1950"/>
      <c r="O250" s="1943"/>
      <c r="P250" s="3603" t="s">
        <v>2644</v>
      </c>
      <c r="Q250" s="3604"/>
      <c r="AA250" s="2492">
        <v>249</v>
      </c>
    </row>
    <row r="251" spans="1:27" ht="15.6" customHeight="1">
      <c r="A251" s="1947"/>
      <c r="B251" s="1934" t="s">
        <v>3057</v>
      </c>
      <c r="D251" s="1950"/>
      <c r="E251" s="1950"/>
      <c r="O251" s="1943"/>
      <c r="P251" s="3605" t="s">
        <v>2644</v>
      </c>
      <c r="Q251" s="3606"/>
      <c r="AA251" s="2492">
        <v>250</v>
      </c>
    </row>
    <row r="252" spans="1:27" ht="15.6" customHeight="1">
      <c r="A252" s="1947"/>
      <c r="B252" s="1934" t="s">
        <v>689</v>
      </c>
      <c r="D252" s="3583" t="s">
        <v>5154</v>
      </c>
      <c r="E252" s="3584"/>
      <c r="F252" s="3584"/>
      <c r="G252" s="3584"/>
      <c r="H252" s="3584"/>
      <c r="I252" s="3584"/>
      <c r="J252" s="3584"/>
      <c r="K252" s="3584"/>
      <c r="L252" s="3584"/>
      <c r="M252" s="3584"/>
      <c r="N252" s="3584"/>
      <c r="O252" s="3584"/>
      <c r="P252" s="3610"/>
      <c r="Q252" s="3611"/>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583" t="s">
        <v>5154</v>
      </c>
      <c r="B254" s="3584"/>
      <c r="C254" s="3584"/>
      <c r="D254" s="3584"/>
      <c r="E254" s="3584"/>
      <c r="F254" s="3584"/>
      <c r="G254" s="3584"/>
      <c r="H254" s="3584"/>
      <c r="I254" s="3584"/>
      <c r="J254" s="3584"/>
      <c r="K254" s="3584"/>
      <c r="L254" s="3584"/>
      <c r="M254" s="3584"/>
      <c r="N254" s="3584"/>
      <c r="O254" s="3584"/>
      <c r="P254" s="3584"/>
      <c r="Q254" s="358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6"/>
      <c r="B256" s="3587"/>
      <c r="C256" s="3587"/>
      <c r="D256" s="3587"/>
      <c r="E256" s="3587"/>
      <c r="F256" s="3587"/>
      <c r="G256" s="3587"/>
      <c r="H256" s="3587"/>
      <c r="I256" s="3587"/>
      <c r="J256" s="3587"/>
      <c r="K256" s="3587"/>
      <c r="L256" s="3587"/>
      <c r="M256" s="3587"/>
      <c r="N256" s="3587"/>
      <c r="O256" s="3587"/>
      <c r="P256" s="3587"/>
      <c r="Q256" s="358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3812</v>
      </c>
      <c r="C259" s="1933"/>
      <c r="D259" s="1933"/>
      <c r="E259" s="1933"/>
      <c r="F259" s="1933"/>
      <c r="G259" s="1933"/>
      <c r="H259" s="1940"/>
      <c r="I259" s="1940"/>
      <c r="J259" s="1940"/>
      <c r="K259" s="1940"/>
      <c r="L259" s="1940"/>
      <c r="M259" s="1940"/>
      <c r="O259" s="1936" t="s">
        <v>1726</v>
      </c>
      <c r="P259" s="3589"/>
      <c r="Q259" s="3590"/>
      <c r="AA259" s="2492">
        <v>258</v>
      </c>
    </row>
    <row r="260" spans="1:27" ht="15.6" customHeight="1">
      <c r="B260" s="1934" t="s">
        <v>4146</v>
      </c>
      <c r="O260" s="1943"/>
      <c r="P260" s="3600"/>
      <c r="Q260" s="3601"/>
      <c r="AA260" s="2492">
        <v>259</v>
      </c>
    </row>
    <row r="261" spans="1:27" ht="15.6" customHeight="1">
      <c r="A261" s="1947"/>
      <c r="B261" s="3602" t="s">
        <v>700</v>
      </c>
      <c r="C261" s="3602"/>
      <c r="D261" s="3602"/>
      <c r="E261" s="3602"/>
      <c r="F261" s="3602"/>
      <c r="G261" s="3602"/>
      <c r="H261" s="3602"/>
      <c r="I261" s="3602"/>
      <c r="J261" s="3602"/>
      <c r="K261" s="3602"/>
      <c r="L261" s="3602"/>
      <c r="M261" s="3602"/>
      <c r="N261" s="3602"/>
      <c r="O261" s="3602"/>
      <c r="P261" s="3603"/>
      <c r="Q261" s="3604"/>
      <c r="AA261" s="2492">
        <v>260</v>
      </c>
    </row>
    <row r="262" spans="1:27" ht="15.6" customHeight="1">
      <c r="B262" s="3602" t="s">
        <v>4813</v>
      </c>
      <c r="C262" s="3602"/>
      <c r="D262" s="3602"/>
      <c r="E262" s="3602"/>
      <c r="F262" s="3602"/>
      <c r="G262" s="3602"/>
      <c r="H262" s="3602"/>
      <c r="I262" s="3602"/>
      <c r="J262" s="3602"/>
      <c r="K262" s="3602"/>
      <c r="L262" s="3602"/>
      <c r="M262" s="3602"/>
      <c r="N262" s="3602"/>
      <c r="O262" s="3602"/>
      <c r="P262" s="3605"/>
      <c r="Q262" s="3606"/>
      <c r="AA262" s="2493">
        <v>261</v>
      </c>
    </row>
    <row r="263" spans="1:27" ht="27.95" customHeight="1">
      <c r="A263" s="1947"/>
      <c r="B263" s="3607" t="s">
        <v>4812</v>
      </c>
      <c r="C263" s="3607"/>
      <c r="D263" s="3607"/>
      <c r="E263" s="3607"/>
      <c r="F263" s="3607"/>
      <c r="G263" s="3607"/>
      <c r="H263" s="3607"/>
      <c r="I263" s="3607"/>
      <c r="J263" s="3607"/>
      <c r="K263" s="3607"/>
      <c r="L263" s="3607"/>
      <c r="M263" s="3607"/>
      <c r="N263" s="3607"/>
      <c r="O263" s="3607"/>
      <c r="P263" s="3608"/>
      <c r="Q263" s="3609"/>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583" t="s">
        <v>5175</v>
      </c>
      <c r="B265" s="3584"/>
      <c r="C265" s="3584"/>
      <c r="D265" s="3584"/>
      <c r="E265" s="3584"/>
      <c r="F265" s="3584"/>
      <c r="G265" s="3584"/>
      <c r="H265" s="3584"/>
      <c r="I265" s="3584"/>
      <c r="J265" s="3584"/>
      <c r="K265" s="3584"/>
      <c r="L265" s="3584"/>
      <c r="M265" s="3584"/>
      <c r="N265" s="3584"/>
      <c r="O265" s="3584"/>
      <c r="P265" s="3584"/>
      <c r="Q265" s="358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6"/>
      <c r="B267" s="3587"/>
      <c r="C267" s="3587"/>
      <c r="D267" s="3587"/>
      <c r="E267" s="3587"/>
      <c r="F267" s="3587"/>
      <c r="G267" s="3587"/>
      <c r="H267" s="3587"/>
      <c r="I267" s="3587"/>
      <c r="J267" s="3587"/>
      <c r="K267" s="3587"/>
      <c r="L267" s="3587"/>
      <c r="M267" s="3587"/>
      <c r="N267" s="3587"/>
      <c r="O267" s="3587"/>
      <c r="P267" s="3587"/>
      <c r="Q267" s="358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597"/>
      <c r="Q270" s="3597"/>
      <c r="AA270" s="2492">
        <v>269</v>
      </c>
    </row>
    <row r="271" spans="1:27" ht="28.5" customHeight="1">
      <c r="A271" s="1937"/>
      <c r="B271" s="3591" t="s">
        <v>5015</v>
      </c>
      <c r="C271" s="3591"/>
      <c r="D271" s="3591"/>
      <c r="E271" s="3591"/>
      <c r="F271" s="3591"/>
      <c r="G271" s="3591"/>
      <c r="H271" s="3591"/>
      <c r="I271" s="3591"/>
      <c r="J271" s="3591"/>
      <c r="K271" s="3591"/>
      <c r="L271" s="3591"/>
      <c r="M271" s="3591"/>
      <c r="N271" s="3591"/>
      <c r="O271" s="1992"/>
      <c r="P271" s="3600" t="s">
        <v>5170</v>
      </c>
      <c r="Q271" s="3601"/>
      <c r="AA271" s="2493">
        <v>270</v>
      </c>
    </row>
    <row r="272" spans="1:27" ht="44.45" customHeight="1">
      <c r="A272" s="1963"/>
      <c r="B272" s="3594" t="s">
        <v>4689</v>
      </c>
      <c r="C272" s="3594"/>
      <c r="D272" s="3594"/>
      <c r="E272" s="3594"/>
      <c r="F272" s="3594"/>
      <c r="G272" s="3594"/>
      <c r="H272" s="3594"/>
      <c r="I272" s="3594"/>
      <c r="J272" s="3594"/>
      <c r="K272" s="3594"/>
      <c r="L272" s="3594"/>
      <c r="M272" s="3594"/>
      <c r="N272" s="3594"/>
      <c r="O272" s="3595"/>
      <c r="P272" s="3593" t="s">
        <v>5170</v>
      </c>
      <c r="Q272" s="3593"/>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583" t="s">
        <v>5176</v>
      </c>
      <c r="B274" s="3584"/>
      <c r="C274" s="3584"/>
      <c r="D274" s="3584"/>
      <c r="E274" s="3584"/>
      <c r="F274" s="3584"/>
      <c r="G274" s="3584"/>
      <c r="H274" s="3584"/>
      <c r="I274" s="3584"/>
      <c r="J274" s="3584"/>
      <c r="K274" s="3584"/>
      <c r="L274" s="3584"/>
      <c r="M274" s="3584"/>
      <c r="N274" s="3584"/>
      <c r="O274" s="3584"/>
      <c r="P274" s="3584"/>
      <c r="Q274" s="358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6"/>
      <c r="B276" s="3587"/>
      <c r="C276" s="3587"/>
      <c r="D276" s="3587"/>
      <c r="E276" s="3587"/>
      <c r="F276" s="3587"/>
      <c r="G276" s="3587"/>
      <c r="H276" s="3587"/>
      <c r="I276" s="3587"/>
      <c r="J276" s="3587"/>
      <c r="K276" s="3587"/>
      <c r="L276" s="3587"/>
      <c r="M276" s="3587"/>
      <c r="N276" s="3587"/>
      <c r="O276" s="3587"/>
      <c r="P276" s="3587"/>
      <c r="Q276" s="3588"/>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4814</v>
      </c>
      <c r="C279" s="1940"/>
      <c r="D279" s="1940"/>
      <c r="E279" s="1940"/>
      <c r="F279" s="1940"/>
      <c r="G279" s="1940"/>
      <c r="H279" s="1940"/>
      <c r="I279" s="1940"/>
      <c r="J279" s="1940"/>
      <c r="K279" s="1940"/>
      <c r="L279" s="1940"/>
      <c r="M279" s="1940"/>
      <c r="O279" s="1936" t="s">
        <v>1726</v>
      </c>
      <c r="P279" s="3597"/>
      <c r="Q279" s="3597"/>
      <c r="AA279" s="2492">
        <v>278</v>
      </c>
    </row>
    <row r="280" spans="1:27" ht="14.25" customHeight="1">
      <c r="A280" s="2090" t="s">
        <v>1836</v>
      </c>
      <c r="B280" s="1941" t="s">
        <v>4815</v>
      </c>
      <c r="C280" s="1941"/>
      <c r="D280" s="1942"/>
      <c r="E280" s="1940"/>
      <c r="F280" s="1940"/>
      <c r="G280" s="1940"/>
      <c r="H280" s="1940"/>
      <c r="I280" s="1940"/>
      <c r="J280" s="1940"/>
      <c r="K280" s="1940"/>
      <c r="L280" s="1940"/>
      <c r="M280" s="1940"/>
      <c r="Q280" s="1932"/>
      <c r="AA280" s="2493">
        <v>279</v>
      </c>
    </row>
    <row r="281" spans="1:27" ht="30" customHeight="1">
      <c r="A281" s="1942"/>
      <c r="B281" s="3594" t="s">
        <v>5005</v>
      </c>
      <c r="C281" s="3594"/>
      <c r="D281" s="3594"/>
      <c r="E281" s="3594"/>
      <c r="F281" s="3594"/>
      <c r="G281" s="3594"/>
      <c r="H281" s="3594"/>
      <c r="I281" s="3594"/>
      <c r="J281" s="3594"/>
      <c r="K281" s="3594"/>
      <c r="L281" s="3594"/>
      <c r="M281" s="3594"/>
      <c r="N281" s="3594"/>
      <c r="O281" s="3595"/>
      <c r="P281" s="3598" t="s">
        <v>5170</v>
      </c>
      <c r="Q281" s="3599"/>
      <c r="AA281" s="2492">
        <v>280</v>
      </c>
    </row>
    <row r="282" spans="1:27" ht="14.25" customHeight="1">
      <c r="A282" s="2090" t="s">
        <v>1838</v>
      </c>
      <c r="B282" s="1941" t="s">
        <v>4816</v>
      </c>
      <c r="C282" s="1937"/>
      <c r="D282" s="1942"/>
      <c r="E282" s="1940"/>
      <c r="F282" s="1940"/>
      <c r="G282" s="1940"/>
      <c r="H282" s="1940"/>
      <c r="I282" s="1940"/>
      <c r="J282" s="1940"/>
      <c r="K282" s="1940"/>
      <c r="L282" s="1940"/>
      <c r="M282" s="1940"/>
      <c r="Q282" s="1932"/>
      <c r="AA282" s="2492">
        <v>281</v>
      </c>
    </row>
    <row r="283" spans="1:27" ht="29.25" customHeight="1">
      <c r="A283" s="1942"/>
      <c r="B283" s="3594" t="s">
        <v>5012</v>
      </c>
      <c r="C283" s="3594"/>
      <c r="D283" s="3594"/>
      <c r="E283" s="3594"/>
      <c r="F283" s="3594"/>
      <c r="G283" s="3594"/>
      <c r="H283" s="3594"/>
      <c r="I283" s="3594"/>
      <c r="J283" s="3594"/>
      <c r="K283" s="3594"/>
      <c r="L283" s="3594"/>
      <c r="M283" s="3594"/>
      <c r="N283" s="3594"/>
      <c r="O283" s="3595"/>
      <c r="P283" s="3598" t="s">
        <v>5170</v>
      </c>
      <c r="Q283" s="3599"/>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583" t="s">
        <v>5200</v>
      </c>
      <c r="B285" s="3584"/>
      <c r="C285" s="3584"/>
      <c r="D285" s="3584"/>
      <c r="E285" s="3584"/>
      <c r="F285" s="3584"/>
      <c r="G285" s="3584"/>
      <c r="H285" s="3584"/>
      <c r="I285" s="3584"/>
      <c r="J285" s="3584"/>
      <c r="K285" s="3584"/>
      <c r="L285" s="3584"/>
      <c r="M285" s="3584"/>
      <c r="N285" s="3584"/>
      <c r="O285" s="3584"/>
      <c r="P285" s="3584"/>
      <c r="Q285" s="358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6"/>
      <c r="B287" s="3587"/>
      <c r="C287" s="3587"/>
      <c r="D287" s="3587"/>
      <c r="E287" s="3587"/>
      <c r="F287" s="3587"/>
      <c r="G287" s="3587"/>
      <c r="H287" s="3587"/>
      <c r="I287" s="3587"/>
      <c r="J287" s="3587"/>
      <c r="K287" s="3587"/>
      <c r="L287" s="3587"/>
      <c r="M287" s="3587"/>
      <c r="N287" s="3587"/>
      <c r="O287" s="3587"/>
      <c r="P287" s="3587"/>
      <c r="Q287" s="358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4817</v>
      </c>
      <c r="C290" s="1940"/>
      <c r="D290" s="1940"/>
      <c r="E290" s="1940"/>
      <c r="F290" s="1940"/>
      <c r="G290" s="1940"/>
      <c r="H290" s="1940"/>
      <c r="I290" s="1940"/>
      <c r="J290" s="1940"/>
      <c r="K290" s="1940"/>
      <c r="L290" s="1940"/>
      <c r="M290" s="1940"/>
      <c r="O290" s="1936" t="s">
        <v>1726</v>
      </c>
      <c r="P290" s="3597"/>
      <c r="Q290" s="3597"/>
      <c r="AA290" s="2492">
        <v>289</v>
      </c>
    </row>
    <row r="291" spans="1:27" ht="30.75" customHeight="1">
      <c r="A291" s="1941"/>
      <c r="B291" s="3591" t="s">
        <v>5006</v>
      </c>
      <c r="C291" s="3591"/>
      <c r="D291" s="3591"/>
      <c r="E291" s="3591"/>
      <c r="F291" s="3591"/>
      <c r="G291" s="3591"/>
      <c r="H291" s="3591"/>
      <c r="I291" s="3591"/>
      <c r="J291" s="3591"/>
      <c r="K291" s="3591"/>
      <c r="L291" s="3591"/>
      <c r="M291" s="3591"/>
      <c r="N291" s="3591"/>
      <c r="O291" s="3592"/>
      <c r="P291" s="3593" t="s">
        <v>2641</v>
      </c>
      <c r="Q291" s="3593"/>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583" t="s">
        <v>5201</v>
      </c>
      <c r="B293" s="3584"/>
      <c r="C293" s="3584"/>
      <c r="D293" s="3584"/>
      <c r="E293" s="3584"/>
      <c r="F293" s="3584"/>
      <c r="G293" s="3584"/>
      <c r="H293" s="3584"/>
      <c r="I293" s="3584"/>
      <c r="J293" s="3584"/>
      <c r="K293" s="3584"/>
      <c r="L293" s="3584"/>
      <c r="M293" s="3584"/>
      <c r="N293" s="3584"/>
      <c r="O293" s="3584"/>
      <c r="P293" s="3584"/>
      <c r="Q293" s="358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6"/>
      <c r="B295" s="3587"/>
      <c r="C295" s="3587"/>
      <c r="D295" s="3587"/>
      <c r="E295" s="3587"/>
      <c r="F295" s="3587"/>
      <c r="G295" s="3587"/>
      <c r="H295" s="3587"/>
      <c r="I295" s="3587"/>
      <c r="J295" s="3587"/>
      <c r="K295" s="3587"/>
      <c r="L295" s="3587"/>
      <c r="M295" s="3587"/>
      <c r="N295" s="3587"/>
      <c r="O295" s="3587"/>
      <c r="P295" s="3587"/>
      <c r="Q295" s="358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4819</v>
      </c>
      <c r="C298" s="1937"/>
      <c r="D298" s="1933"/>
      <c r="E298" s="1940"/>
      <c r="F298" s="1940"/>
      <c r="G298" s="1940"/>
      <c r="H298" s="1940"/>
      <c r="J298" s="1940"/>
      <c r="K298" s="1940"/>
      <c r="L298" s="1940"/>
      <c r="M298" s="1940"/>
      <c r="O298" s="1936" t="s">
        <v>1726</v>
      </c>
      <c r="P298" s="3589"/>
      <c r="Q298" s="3590"/>
      <c r="S298" s="1937"/>
      <c r="T298" s="1937"/>
      <c r="AA298" s="2493">
        <v>297</v>
      </c>
    </row>
    <row r="299" spans="1:27" ht="15">
      <c r="A299" s="1941"/>
      <c r="B299" s="3591" t="s">
        <v>5016</v>
      </c>
      <c r="C299" s="3591"/>
      <c r="D299" s="3591"/>
      <c r="E299" s="3591"/>
      <c r="F299" s="3591"/>
      <c r="G299" s="3591"/>
      <c r="H299" s="3591"/>
      <c r="I299" s="3591"/>
      <c r="J299" s="3591"/>
      <c r="K299" s="3591"/>
      <c r="L299" s="3591"/>
      <c r="M299" s="3591"/>
      <c r="N299" s="3591"/>
      <c r="O299" s="3592"/>
      <c r="P299" s="3593" t="s">
        <v>2641</v>
      </c>
      <c r="Q299" s="3593"/>
      <c r="AA299" s="2492">
        <v>298</v>
      </c>
    </row>
    <row r="300" spans="1:27" ht="30" customHeight="1">
      <c r="A300" s="1941"/>
      <c r="B300" s="3594" t="s">
        <v>4820</v>
      </c>
      <c r="C300" s="3594"/>
      <c r="D300" s="3594"/>
      <c r="E300" s="3594"/>
      <c r="F300" s="3594"/>
      <c r="G300" s="3594"/>
      <c r="H300" s="3594"/>
      <c r="I300" s="3594"/>
      <c r="J300" s="3594"/>
      <c r="K300" s="3594"/>
      <c r="L300" s="3594"/>
      <c r="M300" s="3594"/>
      <c r="N300" s="3594"/>
      <c r="O300" s="3595"/>
      <c r="P300" s="3596" t="s">
        <v>2641</v>
      </c>
      <c r="Q300" s="3596"/>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583" t="s">
        <v>5202</v>
      </c>
      <c r="B302" s="3584"/>
      <c r="C302" s="3584"/>
      <c r="D302" s="3584"/>
      <c r="E302" s="3584"/>
      <c r="F302" s="3584"/>
      <c r="G302" s="3584"/>
      <c r="H302" s="3584"/>
      <c r="I302" s="3584"/>
      <c r="J302" s="3584"/>
      <c r="K302" s="3584"/>
      <c r="L302" s="3584"/>
      <c r="M302" s="3584"/>
      <c r="N302" s="3584"/>
      <c r="O302" s="3584"/>
      <c r="P302" s="3584"/>
      <c r="Q302" s="358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6"/>
      <c r="B304" s="3587"/>
      <c r="C304" s="3587"/>
      <c r="D304" s="3587"/>
      <c r="E304" s="3587"/>
      <c r="F304" s="3587"/>
      <c r="G304" s="3587"/>
      <c r="H304" s="3587"/>
      <c r="I304" s="3587"/>
      <c r="J304" s="3587"/>
      <c r="K304" s="3587"/>
      <c r="L304" s="3587"/>
      <c r="M304" s="3587"/>
      <c r="N304" s="3587"/>
      <c r="O304" s="3587"/>
      <c r="P304" s="3587"/>
      <c r="Q304" s="358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3677</v>
      </c>
      <c r="B307" s="1933" t="s">
        <v>2429</v>
      </c>
      <c r="C307" s="1937"/>
      <c r="D307" s="1933"/>
      <c r="E307" s="1940"/>
      <c r="F307" s="1940"/>
      <c r="G307" s="1940"/>
      <c r="H307" s="1940"/>
      <c r="J307" s="1940"/>
      <c r="K307" s="1940"/>
      <c r="L307" s="1940"/>
      <c r="M307" s="1940"/>
      <c r="O307" s="1936" t="s">
        <v>1726</v>
      </c>
      <c r="P307" s="3589"/>
      <c r="Q307" s="3590"/>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20.25" customHeight="1">
      <c r="A309" s="3583" t="s">
        <v>5215</v>
      </c>
      <c r="B309" s="3584"/>
      <c r="C309" s="3584"/>
      <c r="D309" s="3584"/>
      <c r="E309" s="3584"/>
      <c r="F309" s="3584"/>
      <c r="G309" s="3584"/>
      <c r="H309" s="3584"/>
      <c r="I309" s="3584"/>
      <c r="J309" s="3584"/>
      <c r="K309" s="3584"/>
      <c r="L309" s="3584"/>
      <c r="M309" s="3584"/>
      <c r="N309" s="3584"/>
      <c r="O309" s="3584"/>
      <c r="P309" s="3584"/>
      <c r="Q309" s="358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6"/>
      <c r="B311" s="3587"/>
      <c r="C311" s="3587"/>
      <c r="D311" s="3587"/>
      <c r="E311" s="3587"/>
      <c r="F311" s="3587"/>
      <c r="G311" s="3587"/>
      <c r="H311" s="3587"/>
      <c r="I311" s="3587"/>
      <c r="J311" s="3587"/>
      <c r="K311" s="3587"/>
      <c r="L311" s="3587"/>
      <c r="M311" s="3587"/>
      <c r="N311" s="3587"/>
      <c r="O311" s="3587"/>
      <c r="P311" s="3587"/>
      <c r="Q311" s="358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3914</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3915</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3916</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3920</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3917</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3918</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3919</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5046</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5047</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5048</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5049</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5024</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4097</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5025</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5026</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5027</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5028</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3726</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3723</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3754</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3724</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3773</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3774</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3725</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5029</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5040</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5041</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5042</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5043</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5044</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5045</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cXr6mkhzfaNNfY+0GEz6JV38fi2lUBq2dz9y0dIjbItTvqygdyjJV671yaq1qXkDTMD0eHAikSGrEV1CgfAhXQ==" saltValue="9PAFEoclV8T0jCOW7DK8W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zoomScaleNormal="100" workbookViewId="0">
      <selection activeCell="O141" sqref="O141:P141"/>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9" t="str">
        <f>CONCATENATE("PART EIGHT - SCORING CRITERIA","  -  ",'Part I-Project Identification'!$O$7," ",'Part I-Project Identification'!$F$26,", ",'Part I-Project Identification'!F27,", ",'Part I-Project Identification'!J27," County")</f>
        <v>PART EIGHT - SCORING CRITERIA  -  2024-0 Wesley Square, Norcross, Gwinnett County</v>
      </c>
      <c r="B1" s="3980"/>
      <c r="C1" s="3980"/>
      <c r="D1" s="3980"/>
      <c r="E1" s="3980"/>
      <c r="F1" s="3980"/>
      <c r="G1" s="3980"/>
      <c r="H1" s="3980"/>
      <c r="I1" s="3980"/>
      <c r="J1" s="3980"/>
      <c r="K1" s="3980"/>
      <c r="L1" s="3980"/>
      <c r="M1" s="3980"/>
      <c r="N1" s="3980"/>
      <c r="O1" s="3980"/>
      <c r="P1" s="3981"/>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2" t="s">
        <v>5014</v>
      </c>
      <c r="B3" s="3982"/>
      <c r="C3" s="3982"/>
      <c r="D3" s="3982"/>
      <c r="E3" s="3982"/>
      <c r="F3" s="3982"/>
      <c r="G3" s="3982"/>
      <c r="H3" s="3982"/>
      <c r="I3" s="3982"/>
      <c r="J3" s="3982"/>
      <c r="K3" s="3982"/>
      <c r="L3" s="3982"/>
      <c r="M3" s="2113" t="s">
        <v>4728</v>
      </c>
      <c r="N3" s="2111"/>
      <c r="O3" s="2114" t="s">
        <v>2045</v>
      </c>
      <c r="P3" s="2113" t="s">
        <v>245</v>
      </c>
      <c r="Q3" s="2106"/>
      <c r="R3" s="2106"/>
      <c r="S3" s="2106"/>
      <c r="T3" s="2106"/>
      <c r="U3" s="2106"/>
      <c r="V3" s="2115"/>
      <c r="W3" s="2115"/>
      <c r="X3" s="2116"/>
      <c r="AM3" s="2495">
        <v>3</v>
      </c>
    </row>
    <row r="4" spans="1:39" s="2109" customFormat="1" ht="16.5" customHeight="1">
      <c r="A4" s="3982"/>
      <c r="B4" s="3982"/>
      <c r="C4" s="3982"/>
      <c r="D4" s="3982"/>
      <c r="E4" s="3982"/>
      <c r="F4" s="3982"/>
      <c r="G4" s="3982"/>
      <c r="H4" s="3982"/>
      <c r="I4" s="3982"/>
      <c r="J4" s="3982"/>
      <c r="K4" s="3982"/>
      <c r="L4" s="3982"/>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3" t="str">
        <f>'Part I-Project Identification'!$A$6</f>
        <v>2024 May 7</v>
      </c>
      <c r="C6" s="3983"/>
      <c r="D6" s="3983"/>
      <c r="E6" s="3983"/>
      <c r="F6" s="3983"/>
      <c r="L6" s="2112" t="s">
        <v>1151</v>
      </c>
      <c r="M6" s="2122"/>
      <c r="N6" s="2123"/>
      <c r="O6" s="2124">
        <f>O407</f>
        <v>81.5</v>
      </c>
      <c r="P6" s="2124">
        <f>P407</f>
        <v>12</v>
      </c>
      <c r="Q6" s="2125" t="s">
        <v>4691</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4036</v>
      </c>
      <c r="C8" s="2120"/>
      <c r="G8" s="2131"/>
      <c r="I8" s="2131"/>
      <c r="J8" s="2131"/>
      <c r="K8" s="2131"/>
      <c r="L8" s="2131"/>
      <c r="M8" s="2131"/>
      <c r="N8" s="2131"/>
      <c r="O8" s="2131"/>
      <c r="P8" s="2131"/>
      <c r="Q8" s="2126"/>
      <c r="AM8" s="2495">
        <v>8</v>
      </c>
    </row>
    <row r="9" spans="1:39" ht="8.1" customHeight="1">
      <c r="Q9" s="2134"/>
      <c r="AM9" s="2494">
        <v>9</v>
      </c>
    </row>
    <row r="10" spans="1:39" ht="13.5" customHeight="1">
      <c r="A10" s="3783" t="s">
        <v>4747</v>
      </c>
      <c r="B10" s="3783"/>
      <c r="C10" s="3783"/>
      <c r="D10" s="3783"/>
      <c r="E10" s="3984" t="str">
        <f>IF(OR((C12-A12&gt;0),(D12-A12&gt;0)),"Points Exceed Max!","")</f>
        <v/>
      </c>
      <c r="F10" s="3985" t="s">
        <v>4711</v>
      </c>
      <c r="G10" s="3986"/>
      <c r="H10" s="3986"/>
      <c r="I10" s="3987"/>
      <c r="J10" s="3991" t="s">
        <v>4039</v>
      </c>
      <c r="K10" s="3992"/>
      <c r="L10" s="3992"/>
      <c r="M10" s="3993"/>
      <c r="O10" s="3997" t="s">
        <v>4712</v>
      </c>
      <c r="P10" s="3997"/>
      <c r="Q10" s="2134"/>
      <c r="AM10" s="2494">
        <v>10</v>
      </c>
    </row>
    <row r="11" spans="1:39" ht="13.5" customHeight="1">
      <c r="A11" s="3999" t="s">
        <v>4728</v>
      </c>
      <c r="B11" s="4000"/>
      <c r="C11" s="2135" t="s">
        <v>2880</v>
      </c>
      <c r="D11" s="2136" t="s">
        <v>245</v>
      </c>
      <c r="E11" s="3984"/>
      <c r="F11" s="3988"/>
      <c r="G11" s="3989"/>
      <c r="H11" s="3989"/>
      <c r="I11" s="3990"/>
      <c r="J11" s="3994"/>
      <c r="K11" s="3995"/>
      <c r="L11" s="3995"/>
      <c r="M11" s="3996"/>
      <c r="O11" s="3998"/>
      <c r="P11" s="3998"/>
      <c r="AM11" s="2494">
        <v>11</v>
      </c>
    </row>
    <row r="12" spans="1:39" ht="10.5" customHeight="1">
      <c r="A12" s="4001">
        <v>33</v>
      </c>
      <c r="B12" s="4002"/>
      <c r="C12" s="3965">
        <f>IF($O$12="4%",O160+O169+O190+O206+O238+O265,0)</f>
        <v>0</v>
      </c>
      <c r="D12" s="3967">
        <f>IF($O$12="4%",P160+P169+P190+P206+P238+P265,0)</f>
        <v>0</v>
      </c>
      <c r="E12" s="3984"/>
      <c r="F12" s="3969" t="s">
        <v>4763</v>
      </c>
      <c r="G12" s="3970"/>
      <c r="H12" s="3973" t="s">
        <v>4603</v>
      </c>
      <c r="I12" s="3974"/>
      <c r="J12" s="3977" t="s">
        <v>2938</v>
      </c>
      <c r="K12" s="3977"/>
      <c r="L12" s="3973" t="s">
        <v>4604</v>
      </c>
      <c r="M12" s="3974"/>
      <c r="O12" s="400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6"/>
      <c r="AM12" s="2494">
        <v>12</v>
      </c>
    </row>
    <row r="13" spans="1:39" ht="10.5" customHeight="1">
      <c r="A13" s="4003"/>
      <c r="B13" s="4004"/>
      <c r="C13" s="3966"/>
      <c r="D13" s="3968"/>
      <c r="E13" s="3984"/>
      <c r="F13" s="3971"/>
      <c r="G13" s="3972"/>
      <c r="H13" s="3975"/>
      <c r="I13" s="3976"/>
      <c r="J13" s="3978"/>
      <c r="K13" s="3978"/>
      <c r="L13" s="3975"/>
      <c r="M13" s="3976"/>
      <c r="O13" s="4005"/>
      <c r="P13" s="400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3" t="s">
        <v>4948</v>
      </c>
      <c r="D15" s="3954"/>
      <c r="E15" s="3954"/>
      <c r="F15" s="3954"/>
      <c r="G15" s="3954"/>
      <c r="H15" s="3954"/>
      <c r="I15" s="3954"/>
      <c r="J15" s="3954"/>
      <c r="K15" s="3954"/>
      <c r="L15" s="3955"/>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6" t="s">
        <v>3305</v>
      </c>
      <c r="D16" s="3957"/>
      <c r="E16" s="3957"/>
      <c r="F16" s="3957"/>
      <c r="G16" s="3958"/>
      <c r="H16" s="3959" t="s">
        <v>4949</v>
      </c>
      <c r="I16" s="3960"/>
      <c r="J16" s="3960"/>
      <c r="K16" s="3960"/>
      <c r="L16" s="3961"/>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2" t="s">
        <v>5037</v>
      </c>
      <c r="D18" s="3963"/>
      <c r="E18" s="3963"/>
      <c r="F18" s="3963"/>
      <c r="G18" s="3963"/>
      <c r="H18" s="3963"/>
      <c r="I18" s="3963"/>
      <c r="J18" s="3963"/>
      <c r="K18" s="3963"/>
      <c r="L18" s="3963"/>
      <c r="M18" s="3964"/>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4892</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4950</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4951</v>
      </c>
      <c r="D23" s="2145"/>
      <c r="E23" s="2145"/>
      <c r="G23" s="2108"/>
      <c r="L23" s="2146"/>
      <c r="M23" s="2111">
        <v>3</v>
      </c>
      <c r="N23" s="2152"/>
      <c r="O23" s="2006" t="s">
        <v>2644</v>
      </c>
      <c r="P23" s="2155"/>
      <c r="Q23" s="2149"/>
      <c r="R23" s="2150"/>
      <c r="T23" s="2140"/>
      <c r="U23" s="2140"/>
      <c r="AM23" s="2495">
        <v>23</v>
      </c>
    </row>
    <row r="24" spans="1:39" s="2109" customFormat="1" ht="15.95" customHeight="1">
      <c r="A24" s="2112"/>
      <c r="B24" s="2154" t="s">
        <v>2326</v>
      </c>
      <c r="C24" s="2141" t="s">
        <v>4952</v>
      </c>
      <c r="D24" s="2145"/>
      <c r="E24" s="2145"/>
      <c r="G24" s="2108"/>
      <c r="K24" s="2147"/>
      <c r="M24" s="2111">
        <v>1</v>
      </c>
      <c r="N24" s="2152"/>
      <c r="O24" s="2003" t="s">
        <v>2644</v>
      </c>
      <c r="P24" s="2156"/>
      <c r="R24" s="2108"/>
      <c r="T24" s="2140"/>
      <c r="U24" s="2140"/>
      <c r="AM24" s="2495">
        <v>24</v>
      </c>
    </row>
    <row r="25" spans="1:39" ht="15.95" customHeight="1">
      <c r="A25" s="2112" t="s">
        <v>1838</v>
      </c>
      <c r="B25" s="2120" t="s">
        <v>3826</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6" t="s">
        <v>4953</v>
      </c>
      <c r="C26" s="3906"/>
      <c r="D26" s="3906"/>
      <c r="E26" s="3906"/>
      <c r="F26" s="3906"/>
      <c r="G26" s="3906"/>
      <c r="H26" s="3906"/>
      <c r="I26" s="3906"/>
      <c r="J26" s="3906"/>
      <c r="K26" s="3906"/>
      <c r="L26" s="3906"/>
      <c r="M26" s="2111"/>
      <c r="N26" s="2147"/>
      <c r="O26" s="2021" t="s">
        <v>2644</v>
      </c>
      <c r="P26" s="2160"/>
      <c r="R26" s="2146"/>
      <c r="T26" s="2140"/>
      <c r="U26" s="2140"/>
      <c r="AM26" s="2495">
        <v>26</v>
      </c>
    </row>
    <row r="27" spans="1:39" ht="15.95" customHeight="1">
      <c r="A27" s="2112" t="s">
        <v>697</v>
      </c>
      <c r="B27" s="2120" t="s">
        <v>4852</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9" t="s">
        <v>4954</v>
      </c>
      <c r="C28" s="3889"/>
      <c r="D28" s="3889"/>
      <c r="E28" s="3889"/>
      <c r="F28" s="3889"/>
      <c r="G28" s="3889"/>
      <c r="H28" s="3889"/>
      <c r="I28" s="3889"/>
      <c r="J28" s="3889"/>
      <c r="K28" s="3889"/>
      <c r="L28" s="3889"/>
      <c r="M28" s="2111"/>
      <c r="N28" s="2111"/>
      <c r="O28" s="2111"/>
      <c r="P28" s="2111"/>
      <c r="R28" s="2146"/>
      <c r="T28" s="2140"/>
      <c r="U28" s="2140"/>
      <c r="AM28" s="2495">
        <v>28</v>
      </c>
    </row>
    <row r="29" spans="1:39" s="2164" customFormat="1">
      <c r="B29" s="2154" t="s">
        <v>1839</v>
      </c>
      <c r="C29" s="2163" t="s">
        <v>4955</v>
      </c>
      <c r="D29" s="2161"/>
      <c r="E29" s="2161"/>
      <c r="F29" s="2161"/>
      <c r="G29" s="2161"/>
      <c r="H29" s="2161"/>
      <c r="I29" s="2161"/>
      <c r="J29" s="2161"/>
      <c r="K29" s="2161"/>
      <c r="L29" s="2161"/>
      <c r="M29" s="2165"/>
      <c r="N29" s="2166"/>
      <c r="O29" s="2097" t="s">
        <v>2641</v>
      </c>
      <c r="P29" s="2167"/>
      <c r="R29" s="2168"/>
      <c r="T29" s="2169"/>
      <c r="U29" s="2169"/>
      <c r="AM29" s="2494">
        <v>29</v>
      </c>
    </row>
    <row r="30" spans="1:39" s="2164" customFormat="1">
      <c r="B30" s="2154" t="s">
        <v>1841</v>
      </c>
      <c r="C30" s="2163" t="s">
        <v>4956</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4957</v>
      </c>
      <c r="D31" s="2161"/>
      <c r="E31" s="2161"/>
      <c r="F31" s="2161"/>
      <c r="G31" s="2161"/>
      <c r="H31" s="2161"/>
      <c r="J31" s="3941"/>
      <c r="K31" s="3942"/>
      <c r="L31" s="3942"/>
      <c r="M31" s="3943"/>
      <c r="N31" s="2166"/>
      <c r="O31" s="2166"/>
      <c r="P31" s="2166"/>
      <c r="R31" s="2168"/>
      <c r="T31" s="2169"/>
      <c r="U31" s="2169"/>
      <c r="AM31" s="2494">
        <v>31</v>
      </c>
    </row>
    <row r="32" spans="1:39" s="2164" customFormat="1">
      <c r="B32" s="2154" t="s">
        <v>2326</v>
      </c>
      <c r="C32" s="3889" t="s">
        <v>4958</v>
      </c>
      <c r="D32" s="3889"/>
      <c r="E32" s="3889"/>
      <c r="F32" s="3889"/>
      <c r="G32" s="3889"/>
      <c r="H32" s="3889"/>
      <c r="I32" s="3889"/>
      <c r="J32" s="3889"/>
      <c r="K32" s="3889"/>
      <c r="L32" s="3889"/>
      <c r="M32" s="2165"/>
      <c r="N32" s="2166"/>
      <c r="O32" s="2018" t="s">
        <v>2644</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6"/>
      <c r="B34" s="3757"/>
      <c r="C34" s="3757"/>
      <c r="D34" s="3757"/>
      <c r="E34" s="3757"/>
      <c r="F34" s="3757"/>
      <c r="G34" s="3757"/>
      <c r="H34" s="3757"/>
      <c r="I34" s="3757"/>
      <c r="J34" s="3757"/>
      <c r="K34" s="3757"/>
      <c r="L34" s="3757"/>
      <c r="M34" s="3757"/>
      <c r="N34" s="3757"/>
      <c r="O34" s="3757"/>
      <c r="P34" s="375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4471</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4721</v>
      </c>
      <c r="D38" s="2133"/>
      <c r="E38" s="2133"/>
      <c r="J38" s="2178"/>
      <c r="M38" s="2179"/>
      <c r="O38" s="3944" t="s">
        <v>4722</v>
      </c>
      <c r="P38" s="3944" t="s">
        <v>3065</v>
      </c>
      <c r="Q38" s="2144"/>
      <c r="R38" s="2106"/>
      <c r="S38" s="2106"/>
      <c r="T38" s="2106"/>
      <c r="U38" s="2106"/>
      <c r="V38" s="2106"/>
      <c r="W38" s="2108"/>
      <c r="X38" s="2108"/>
      <c r="AM38" s="2495">
        <v>38</v>
      </c>
    </row>
    <row r="39" spans="1:39" s="2109" customFormat="1" ht="15.95" customHeight="1">
      <c r="A39" s="2132"/>
      <c r="C39" s="2109" t="s">
        <v>4584</v>
      </c>
      <c r="G39" s="3945" t="s">
        <v>2843</v>
      </c>
      <c r="H39" s="3946"/>
      <c r="I39" s="3947"/>
      <c r="J39" s="3948"/>
      <c r="K39" s="2356"/>
      <c r="M39" s="2179"/>
      <c r="O39" s="3876"/>
      <c r="P39" s="3876"/>
      <c r="Q39" s="2144"/>
      <c r="V39" s="2106"/>
      <c r="W39" s="2108"/>
      <c r="X39" s="2108"/>
      <c r="AM39" s="2494">
        <v>39</v>
      </c>
    </row>
    <row r="40" spans="1:39" s="2109" customFormat="1" ht="15.95" customHeight="1">
      <c r="A40" s="2132"/>
      <c r="C40" s="2109" t="s">
        <v>4959</v>
      </c>
      <c r="G40" s="3949" t="s">
        <v>5177</v>
      </c>
      <c r="H40" s="3950"/>
      <c r="I40" s="2180"/>
      <c r="J40" s="2181"/>
      <c r="M40" s="2179"/>
      <c r="O40" s="3876"/>
      <c r="P40" s="3876"/>
      <c r="Q40" s="2144"/>
      <c r="V40" s="2106"/>
      <c r="W40" s="2108"/>
      <c r="X40" s="2108"/>
      <c r="AM40" s="2494">
        <v>40</v>
      </c>
    </row>
    <row r="41" spans="1:39" s="2109" customFormat="1" ht="15.95" customHeight="1">
      <c r="A41" s="2132"/>
      <c r="C41" s="2109" t="s">
        <v>4583</v>
      </c>
      <c r="G41" s="3951" t="s">
        <v>2843</v>
      </c>
      <c r="H41" s="3952"/>
      <c r="I41" s="2356"/>
      <c r="M41" s="2179"/>
      <c r="O41" s="3877"/>
      <c r="P41" s="3877"/>
      <c r="Q41" s="2144"/>
      <c r="V41" s="2106"/>
      <c r="W41" s="2108"/>
      <c r="X41" s="2108"/>
      <c r="AM41" s="2494">
        <v>41</v>
      </c>
    </row>
    <row r="42" spans="1:39" ht="28.5" customHeight="1" thickBot="1">
      <c r="A42" s="2183"/>
      <c r="B42" s="2147"/>
      <c r="C42" s="3906" t="s">
        <v>4853</v>
      </c>
      <c r="D42" s="3906"/>
      <c r="E42" s="3906"/>
      <c r="F42" s="3906"/>
      <c r="G42" s="3906"/>
      <c r="H42" s="3906"/>
      <c r="I42" s="3906"/>
      <c r="J42" s="3906"/>
      <c r="K42" s="3906"/>
      <c r="L42" s="390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4472</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4960</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4473</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4961</v>
      </c>
      <c r="D47" s="2163"/>
      <c r="L47" s="2163"/>
      <c r="M47" s="2129"/>
      <c r="N47" s="2147"/>
      <c r="O47" s="2019" t="s">
        <v>2644</v>
      </c>
      <c r="P47" s="2187"/>
      <c r="Q47" s="2185"/>
      <c r="R47" s="2150"/>
      <c r="S47" s="2106"/>
      <c r="T47" s="2106"/>
      <c r="U47" s="2106"/>
      <c r="V47" s="2106"/>
      <c r="AM47" s="2494">
        <v>47</v>
      </c>
    </row>
    <row r="48" spans="1:39" ht="28.5" customHeight="1">
      <c r="A48" s="2112"/>
      <c r="B48" s="3889" t="s">
        <v>4854</v>
      </c>
      <c r="C48" s="3889"/>
      <c r="D48" s="3889"/>
      <c r="E48" s="3889"/>
      <c r="F48" s="3889"/>
      <c r="G48" s="3889"/>
      <c r="H48" s="3889"/>
      <c r="I48" s="3889"/>
      <c r="J48" s="3889"/>
      <c r="K48" s="3889"/>
      <c r="L48" s="3889"/>
      <c r="M48" s="3889"/>
      <c r="N48" s="2147"/>
      <c r="O48" s="2103" t="s">
        <v>2644</v>
      </c>
      <c r="P48" s="2190"/>
      <c r="Q48" s="2185"/>
      <c r="R48" s="2150"/>
      <c r="S48" s="2106"/>
      <c r="T48" s="2106"/>
      <c r="U48" s="2106"/>
      <c r="V48" s="2106"/>
      <c r="AM48" s="2495">
        <v>48</v>
      </c>
    </row>
    <row r="49" spans="1:39" ht="15.95" customHeight="1">
      <c r="A49" s="2109"/>
      <c r="B49" s="2131" t="s">
        <v>4843</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776" t="s">
        <v>5178</v>
      </c>
      <c r="B50" s="3777"/>
      <c r="C50" s="3777"/>
      <c r="D50" s="3777"/>
      <c r="E50" s="3777"/>
      <c r="F50" s="3777"/>
      <c r="G50" s="3777"/>
      <c r="H50" s="3777"/>
      <c r="I50" s="3777"/>
      <c r="J50" s="3777"/>
      <c r="K50" s="3777"/>
      <c r="L50" s="3777"/>
      <c r="M50" s="3777"/>
      <c r="N50" s="3777"/>
      <c r="O50" s="3777"/>
      <c r="P50" s="3778"/>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6"/>
      <c r="B52" s="3757"/>
      <c r="C52" s="3757"/>
      <c r="D52" s="3757"/>
      <c r="E52" s="3757"/>
      <c r="F52" s="3757"/>
      <c r="G52" s="3757"/>
      <c r="H52" s="3757"/>
      <c r="I52" s="3757"/>
      <c r="J52" s="3757"/>
      <c r="K52" s="3757"/>
      <c r="L52" s="3757"/>
      <c r="M52" s="3757"/>
      <c r="N52" s="3757"/>
      <c r="O52" s="3757"/>
      <c r="P52" s="375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4892</v>
      </c>
      <c r="M55" s="2122">
        <v>5</v>
      </c>
      <c r="N55" s="2111"/>
      <c r="O55" s="2195">
        <f>O56+O78</f>
        <v>2</v>
      </c>
      <c r="P55" s="2195">
        <f>P56+P78</f>
        <v>0</v>
      </c>
      <c r="Q55" s="2144" t="s">
        <v>415</v>
      </c>
      <c r="AM55" s="2495">
        <v>55</v>
      </c>
    </row>
    <row r="56" spans="1:39" ht="15.95" customHeight="1" thickBot="1">
      <c r="A56" s="2196" t="s">
        <v>1836</v>
      </c>
      <c r="B56" s="2120" t="s">
        <v>3258</v>
      </c>
      <c r="L56" s="2146" t="str">
        <f>IF(O56&lt;=M56,"","* * Check Score! * *")</f>
        <v/>
      </c>
      <c r="M56" s="2111">
        <v>4</v>
      </c>
      <c r="N56" s="2147"/>
      <c r="O56" s="2022">
        <v>2</v>
      </c>
      <c r="P56" s="2197"/>
      <c r="Q56" s="2149" t="str">
        <f>IF(O56&lt;=M56,"","*CHECK!*")</f>
        <v/>
      </c>
      <c r="R56" s="2125"/>
      <c r="S56" s="2125"/>
      <c r="T56" s="2107"/>
      <c r="AM56" s="2495">
        <v>56</v>
      </c>
    </row>
    <row r="57" spans="1:39" ht="30.95" customHeight="1">
      <c r="A57" s="2196"/>
      <c r="B57" s="3939" t="s">
        <v>4857</v>
      </c>
      <c r="C57" s="3939"/>
      <c r="D57" s="3939"/>
      <c r="E57" s="3939"/>
      <c r="F57" s="3939"/>
      <c r="G57" s="3939"/>
      <c r="H57" s="3939"/>
      <c r="I57" s="3939"/>
      <c r="J57" s="3939"/>
      <c r="K57" s="3939"/>
      <c r="L57" s="3939"/>
      <c r="N57" s="2108"/>
      <c r="O57" s="2023" t="s">
        <v>2641</v>
      </c>
      <c r="P57" s="2198"/>
      <c r="R57" s="2125"/>
      <c r="S57" s="2125"/>
      <c r="T57" s="2107"/>
      <c r="AM57" s="2494">
        <v>57</v>
      </c>
    </row>
    <row r="58" spans="1:39" ht="15.95" customHeight="1">
      <c r="A58" s="2196"/>
      <c r="B58" s="2199"/>
      <c r="C58" s="2164"/>
      <c r="D58" s="2164"/>
      <c r="E58" s="2164"/>
      <c r="F58" s="2164"/>
      <c r="G58" s="2164"/>
      <c r="H58" s="2164"/>
      <c r="I58" s="2164"/>
      <c r="J58" s="3940" t="s">
        <v>1843</v>
      </c>
      <c r="K58" s="3940"/>
      <c r="M58" s="3940" t="s">
        <v>1843</v>
      </c>
      <c r="N58" s="3940"/>
      <c r="O58" s="3940"/>
      <c r="P58" s="3940"/>
      <c r="R58" s="2200"/>
      <c r="S58" s="2200"/>
      <c r="T58" s="2107"/>
      <c r="AM58" s="2494">
        <v>58</v>
      </c>
    </row>
    <row r="59" spans="1:39" ht="14.1" customHeight="1">
      <c r="A59" s="2147"/>
      <c r="B59" s="2151" t="s">
        <v>1839</v>
      </c>
      <c r="C59" s="2109" t="s">
        <v>1386</v>
      </c>
      <c r="I59" s="2147"/>
      <c r="J59" s="3934"/>
      <c r="K59" s="3935"/>
      <c r="L59" s="2147"/>
      <c r="M59" s="3936"/>
      <c r="N59" s="3937"/>
      <c r="O59" s="3937"/>
      <c r="P59" s="3938"/>
      <c r="R59" s="2146"/>
      <c r="AM59" s="2495">
        <v>59</v>
      </c>
    </row>
    <row r="60" spans="1:39" ht="14.1" customHeight="1">
      <c r="A60" s="2142"/>
      <c r="B60" s="2154" t="s">
        <v>1841</v>
      </c>
      <c r="C60" s="2109" t="s">
        <v>3070</v>
      </c>
      <c r="I60" s="2166"/>
      <c r="J60" s="3926"/>
      <c r="K60" s="3927"/>
      <c r="L60" s="2166"/>
      <c r="M60" s="3928"/>
      <c r="N60" s="3929"/>
      <c r="O60" s="3929"/>
      <c r="P60" s="3930"/>
      <c r="AM60" s="2495">
        <v>60</v>
      </c>
    </row>
    <row r="61" spans="1:39" ht="14.1" customHeight="1">
      <c r="B61" s="2151" t="s">
        <v>2326</v>
      </c>
      <c r="C61" s="2109" t="s">
        <v>3827</v>
      </c>
      <c r="I61" s="2147"/>
      <c r="J61" s="3926"/>
      <c r="K61" s="3927"/>
      <c r="L61" s="2147"/>
      <c r="M61" s="3928"/>
      <c r="N61" s="3929"/>
      <c r="O61" s="3929"/>
      <c r="P61" s="3930"/>
      <c r="AM61" s="2495">
        <v>61</v>
      </c>
    </row>
    <row r="62" spans="1:39" ht="14.1" customHeight="1">
      <c r="B62" s="2151" t="s">
        <v>1149</v>
      </c>
      <c r="C62" s="2109" t="s">
        <v>4855</v>
      </c>
      <c r="I62" s="2147"/>
      <c r="J62" s="3926"/>
      <c r="K62" s="3927"/>
      <c r="L62" s="2147"/>
      <c r="M62" s="3928"/>
      <c r="N62" s="3929"/>
      <c r="O62" s="3929"/>
      <c r="P62" s="3930"/>
      <c r="AM62" s="2495">
        <v>62</v>
      </c>
    </row>
    <row r="63" spans="1:39" ht="14.1" customHeight="1">
      <c r="A63" s="2142"/>
      <c r="B63" s="2154" t="s">
        <v>1150</v>
      </c>
      <c r="C63" s="2109" t="s">
        <v>2987</v>
      </c>
      <c r="I63" s="2147"/>
      <c r="J63" s="3926"/>
      <c r="K63" s="3927"/>
      <c r="L63" s="2147"/>
      <c r="M63" s="3928"/>
      <c r="N63" s="3929"/>
      <c r="O63" s="3929"/>
      <c r="P63" s="3930"/>
      <c r="AM63" s="2494">
        <v>63</v>
      </c>
    </row>
    <row r="64" spans="1:39" ht="14.1" customHeight="1">
      <c r="A64" s="2147"/>
      <c r="B64" s="2151" t="s">
        <v>1737</v>
      </c>
      <c r="C64" s="2109" t="s">
        <v>2466</v>
      </c>
      <c r="I64" s="2166"/>
      <c r="J64" s="3926"/>
      <c r="K64" s="3927"/>
      <c r="L64" s="2166"/>
      <c r="M64" s="3928"/>
      <c r="N64" s="3929"/>
      <c r="O64" s="3929"/>
      <c r="P64" s="3930"/>
      <c r="AM64" s="2495">
        <v>64</v>
      </c>
    </row>
    <row r="65" spans="1:39" ht="14.1" customHeight="1">
      <c r="B65" s="2151" t="s">
        <v>472</v>
      </c>
      <c r="C65" s="2109" t="s">
        <v>1385</v>
      </c>
      <c r="I65" s="2147"/>
      <c r="J65" s="3926"/>
      <c r="K65" s="3927"/>
      <c r="L65" s="2147"/>
      <c r="M65" s="3928"/>
      <c r="N65" s="3929"/>
      <c r="O65" s="3929"/>
      <c r="P65" s="3930"/>
      <c r="AM65" s="2494">
        <v>65</v>
      </c>
    </row>
    <row r="66" spans="1:39" ht="14.1" customHeight="1">
      <c r="B66" s="2151" t="s">
        <v>473</v>
      </c>
      <c r="C66" s="2109" t="s">
        <v>4128</v>
      </c>
      <c r="I66" s="2147"/>
      <c r="J66" s="3926"/>
      <c r="K66" s="3927"/>
      <c r="L66" s="2147"/>
      <c r="M66" s="3928"/>
      <c r="N66" s="3929"/>
      <c r="O66" s="3929"/>
      <c r="P66" s="3930"/>
      <c r="R66" s="2146"/>
      <c r="AM66" s="2494">
        <v>66</v>
      </c>
    </row>
    <row r="67" spans="1:39" ht="14.1" customHeight="1">
      <c r="A67" s="2142"/>
      <c r="B67" s="2151" t="s">
        <v>3763</v>
      </c>
      <c r="C67" s="2109" t="s">
        <v>3069</v>
      </c>
      <c r="I67" s="2147"/>
      <c r="J67" s="3926"/>
      <c r="K67" s="3927"/>
      <c r="L67" s="2147"/>
      <c r="M67" s="3928"/>
      <c r="N67" s="3929"/>
      <c r="O67" s="3929"/>
      <c r="P67" s="3930"/>
      <c r="R67" s="2146"/>
      <c r="AM67" s="2494">
        <v>67</v>
      </c>
    </row>
    <row r="68" spans="1:39" ht="14.1" customHeight="1">
      <c r="B68" s="2151" t="s">
        <v>4702</v>
      </c>
      <c r="C68" s="2109" t="s">
        <v>4701</v>
      </c>
      <c r="I68" s="2147"/>
      <c r="J68" s="3926"/>
      <c r="K68" s="3927"/>
      <c r="L68" s="2147"/>
      <c r="M68" s="3928"/>
      <c r="N68" s="3929"/>
      <c r="O68" s="3929"/>
      <c r="P68" s="3930"/>
      <c r="R68" s="2146"/>
      <c r="AM68" s="2494">
        <v>68</v>
      </c>
    </row>
    <row r="69" spans="1:39" ht="14.1" customHeight="1">
      <c r="B69" s="2151" t="s">
        <v>4703</v>
      </c>
      <c r="C69" s="2109" t="s">
        <v>4723</v>
      </c>
      <c r="I69" s="2147"/>
      <c r="J69" s="3926"/>
      <c r="K69" s="3927"/>
      <c r="L69" s="2147"/>
      <c r="M69" s="3928"/>
      <c r="N69" s="3929"/>
      <c r="O69" s="3929"/>
      <c r="P69" s="3930"/>
      <c r="R69" s="2146"/>
      <c r="AM69" s="2494">
        <v>69</v>
      </c>
    </row>
    <row r="70" spans="1:39" ht="14.1" customHeight="1" thickBot="1">
      <c r="B70" s="2151" t="s">
        <v>4856</v>
      </c>
      <c r="C70" s="2109" t="s">
        <v>4724</v>
      </c>
      <c r="I70" s="2147"/>
      <c r="J70" s="3926">
        <v>1640000</v>
      </c>
      <c r="K70" s="3927"/>
      <c r="L70" s="2147"/>
      <c r="M70" s="3931"/>
      <c r="N70" s="3932"/>
      <c r="O70" s="3932"/>
      <c r="P70" s="3933"/>
      <c r="R70" s="2146"/>
      <c r="AM70" s="2494">
        <v>70</v>
      </c>
    </row>
    <row r="71" spans="1:39" ht="15.95" customHeight="1" thickBot="1">
      <c r="B71" s="2109"/>
      <c r="I71" s="2128" t="s">
        <v>2406</v>
      </c>
      <c r="J71" s="3918">
        <f>SUM(J59:K70)</f>
        <v>1640000</v>
      </c>
      <c r="K71" s="3919"/>
      <c r="M71" s="3918">
        <f>SUM($M59:$M70)</f>
        <v>0</v>
      </c>
      <c r="N71" s="3920"/>
      <c r="O71" s="3920"/>
      <c r="P71" s="3919"/>
      <c r="U71" s="3783" t="s">
        <v>4729</v>
      </c>
      <c r="V71" s="3783"/>
      <c r="W71" s="3783"/>
      <c r="X71" s="3783"/>
      <c r="Y71" s="3783"/>
      <c r="Z71" s="3783"/>
      <c r="AM71" s="2495">
        <v>71</v>
      </c>
    </row>
    <row r="72" spans="1:39" ht="15.95" customHeight="1">
      <c r="M72" s="2125"/>
      <c r="N72" s="2125"/>
      <c r="O72" s="2108"/>
      <c r="P72" s="2125"/>
      <c r="U72" s="2201" t="s">
        <v>4727</v>
      </c>
      <c r="V72" s="2201" t="s">
        <v>4728</v>
      </c>
      <c r="W72" s="2201" t="s">
        <v>4727</v>
      </c>
      <c r="X72" s="2201" t="s">
        <v>4728</v>
      </c>
      <c r="Y72" s="2201" t="s">
        <v>4727</v>
      </c>
      <c r="Z72" s="2201" t="s">
        <v>4728</v>
      </c>
      <c r="AM72" s="2495">
        <v>72</v>
      </c>
    </row>
    <row r="73" spans="1:39" ht="15.95" customHeight="1">
      <c r="A73" s="2109"/>
      <c r="B73" s="2151"/>
      <c r="C73" s="2193" t="s">
        <v>2405</v>
      </c>
      <c r="D73" s="2127"/>
      <c r="E73" s="2127"/>
      <c r="I73" s="2147" t="s">
        <v>4131</v>
      </c>
      <c r="J73" s="3910">
        <f>'Part V-Revenues &amp; Expenses'!$P$67</f>
        <v>72</v>
      </c>
      <c r="K73" s="3911"/>
      <c r="L73" s="2125"/>
      <c r="M73" s="2125"/>
      <c r="N73" s="2125"/>
      <c r="O73" s="2108"/>
      <c r="P73" s="2125"/>
      <c r="R73" s="2202" t="s">
        <v>4725</v>
      </c>
      <c r="U73" s="2203">
        <v>500000</v>
      </c>
      <c r="V73" s="2204">
        <v>999999.99</v>
      </c>
      <c r="W73" s="2203">
        <v>1000000</v>
      </c>
      <c r="X73" s="2204">
        <v>1999999.99</v>
      </c>
      <c r="Y73" s="2203">
        <v>2000000</v>
      </c>
      <c r="Z73" s="2205"/>
      <c r="AM73" s="2495">
        <v>73</v>
      </c>
    </row>
    <row r="74" spans="1:39" ht="15.95" customHeight="1">
      <c r="C74" s="2127"/>
      <c r="D74" s="2127"/>
      <c r="E74" s="2127"/>
      <c r="I74" s="2206" t="s">
        <v>4132</v>
      </c>
      <c r="J74" s="3921">
        <f>IF(J73=0,0,J71/J73)</f>
        <v>22777.777777777777</v>
      </c>
      <c r="K74" s="3922"/>
      <c r="M74" s="3923">
        <f>IF(J73=0,0,M71/J73)</f>
        <v>0</v>
      </c>
      <c r="N74" s="3924"/>
      <c r="O74" s="3924"/>
      <c r="P74" s="3925"/>
      <c r="R74" s="2202" t="s">
        <v>4726</v>
      </c>
      <c r="U74" s="2207">
        <v>10000</v>
      </c>
      <c r="V74" s="2208">
        <v>19999.990000000002</v>
      </c>
      <c r="W74" s="2207">
        <v>20000</v>
      </c>
      <c r="X74" s="2208">
        <v>29999.99</v>
      </c>
      <c r="Y74" s="2207">
        <v>30000</v>
      </c>
      <c r="Z74" s="2209"/>
      <c r="AM74" s="2494">
        <v>74</v>
      </c>
    </row>
    <row r="75" spans="1:39" ht="15.95" customHeight="1">
      <c r="C75" s="2127"/>
      <c r="D75" s="2127"/>
      <c r="E75" s="2127"/>
      <c r="I75" s="2142" t="s">
        <v>4704</v>
      </c>
      <c r="J75" s="3910">
        <f>IF(AND(J62+J67&gt;0,J71&gt;=$Y$73),$Y$75, IF(AND(J62+J67=0,J71&gt;=$Y$73),$Y$76, IF(AND(J62+J67&gt;0,J71&gt;=$W$73),$W$75,IF(AND(J62+J67=0,J71&gt;=$W$73),$W$76, IF(AND(J62+J67&gt;0,J71&gt;=$U$73),$U$75,IF(AND(J62+J67=0,J71&gt;=$U$73),$U$76,0))))))</f>
        <v>2</v>
      </c>
      <c r="K75" s="3911"/>
      <c r="M75" s="3910">
        <f>IF(AND(M62+M67&gt;0,M71&gt;=$Y$73),$Y$75, IF(AND(M62+M67=0,M71&gt;=$Y$73),$Y$76, IF(AND(M62+M67&gt;0,M71&gt;=$W$73),$W$75,IF(AND(M62+M67=0,M71&gt;=$W$73),$W$76, IF(AND(M62+M67&gt;0,M71&gt;=$U$73),$U$75,IF(AND(M62+M67=0,M71&gt;=$U$73),$U$76,0))))))</f>
        <v>0</v>
      </c>
      <c r="N75" s="3912"/>
      <c r="O75" s="3912">
        <f>IF(AND(O62+O67&gt;0,O71&gt;=$Y$73),$Y$75, IF(AND(O62+O67=0,O71&gt;=$Y$73),$Y$76, IF(AND(O62+O67&gt;0,O71&gt;=$W$73),$W$75,IF(AND(O62+O67=0,O71&gt;=$W$73),$W$76, IF(AND(O62+O67&gt;0,O71&gt;=$U$73),$U$75,IF(AND(O62+O67=0,O71&gt;=$U$73),$U$76,0))))))</f>
        <v>0</v>
      </c>
      <c r="P75" s="3911"/>
      <c r="R75" s="2202" t="s">
        <v>4858</v>
      </c>
      <c r="U75" s="3913">
        <v>2</v>
      </c>
      <c r="V75" s="3914"/>
      <c r="W75" s="3913">
        <v>3</v>
      </c>
      <c r="X75" s="3914"/>
      <c r="Y75" s="3913">
        <v>4</v>
      </c>
      <c r="Z75" s="3914"/>
      <c r="AM75" s="2494">
        <v>75</v>
      </c>
    </row>
    <row r="76" spans="1:39" ht="15.95" customHeight="1">
      <c r="C76" s="2127"/>
      <c r="D76" s="2127"/>
      <c r="E76" s="2127"/>
      <c r="I76" s="2142" t="s">
        <v>4133</v>
      </c>
      <c r="J76" s="3915">
        <f>IF(AND(J62+J67&gt;0,$J$74&gt;=$Y$74),$Y$75,IF(AND(J62+J67=0,$J$74&gt;=$Y$74),$Y$76,IF(AND(J62+J67&gt;0,$J$74&gt;=$W$74),$W$75,IF(AND(J62+J67=0,$J$74&gt;=$W$74),$W$76,IF(AND(J62+J67&gt;0,$J$74&gt;=$U$74),$U$75,IF(AND(J62+J67=0,$J$74&gt;=$U$74),$U$76,0))))))</f>
        <v>2</v>
      </c>
      <c r="K76" s="3916"/>
      <c r="L76" s="2125"/>
      <c r="M76" s="3915">
        <f>IF(AND(M62+M67&gt;0,$M$74&gt;=$Y$74),$Y$75,IF(AND(M62+M67=0,$M$74&gt;=$Y$74),$Y$76,IF(AND(M62+M67&gt;0,$M$74&gt;=$W$74),$W$75,IF(AND(M62+M67=0,$M$74&gt;=$W$74),$W$76,IF(AND(M62+M67&gt;0,$M$74&gt;=$U$74),$U$75,IF(AND(M62+M67=0,$M$74&gt;=$U$74),$U$76,0))))))</f>
        <v>0</v>
      </c>
      <c r="N76" s="3917"/>
      <c r="O76" s="3917">
        <f t="shared" ref="O76" si="0">IF(AND(O62+O67&gt;0,$J$73&gt;=$Y$74),$Y$75, IF(AND(O62+O67=0,$J$73&gt;=$Y$74),$Y$76, IF(AND(O62+O67&gt;0,$J$73&gt;=$W$74),$W$75,IF(AND(O62+O67=0,$J$73&gt;=$W$74),$W$76, IF(AND(O62+O67&gt;0,$J$73&gt;=$U$74),$U$75,IF(AND(O62+O67=0,$J$73&gt;=$U$74),$U$76,0))))))</f>
        <v>0</v>
      </c>
      <c r="P76" s="3916"/>
      <c r="R76" s="2202" t="s">
        <v>4859</v>
      </c>
      <c r="U76" s="3913">
        <v>1</v>
      </c>
      <c r="V76" s="3914"/>
      <c r="W76" s="3913">
        <v>2</v>
      </c>
      <c r="X76" s="3914"/>
      <c r="Y76" s="3913">
        <v>3</v>
      </c>
      <c r="Z76" s="3914"/>
      <c r="AM76" s="2495">
        <v>76</v>
      </c>
    </row>
    <row r="77" spans="1:39" ht="15.95" customHeight="1" thickBot="1">
      <c r="AM77" s="2494">
        <v>77</v>
      </c>
    </row>
    <row r="78" spans="1:39" ht="15.95" customHeight="1" thickBot="1">
      <c r="A78" s="2112" t="s">
        <v>1838</v>
      </c>
      <c r="B78" s="2120" t="s">
        <v>4860</v>
      </c>
      <c r="D78" s="2109"/>
      <c r="F78" s="2210" t="s">
        <v>4864</v>
      </c>
      <c r="K78" s="2109"/>
      <c r="L78" s="2211" t="s">
        <v>4863</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4861</v>
      </c>
      <c r="F79" s="2213" t="s">
        <v>4862</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4960</v>
      </c>
      <c r="D81" s="2266"/>
      <c r="E81" s="2266"/>
      <c r="F81" s="2266"/>
      <c r="G81" s="2266"/>
      <c r="H81" s="2266"/>
      <c r="I81" s="2266"/>
      <c r="J81" s="2266"/>
      <c r="K81" s="2266"/>
      <c r="L81" s="2266"/>
      <c r="M81" s="2266"/>
      <c r="N81" s="2217"/>
      <c r="O81" s="2024" t="s">
        <v>5147</v>
      </c>
      <c r="P81" s="2218"/>
      <c r="V81" s="2140"/>
      <c r="AM81" s="2495">
        <v>81</v>
      </c>
    </row>
    <row r="82" spans="1:39" ht="15.95" customHeight="1">
      <c r="A82" s="2128"/>
      <c r="B82" s="2191"/>
      <c r="C82" s="2109" t="s">
        <v>4705</v>
      </c>
      <c r="D82" s="2109"/>
      <c r="E82" s="2109"/>
      <c r="F82" s="2109"/>
      <c r="G82" s="2109"/>
      <c r="H82" s="2109"/>
      <c r="I82" s="2109"/>
      <c r="J82" s="2109"/>
      <c r="K82" s="2109"/>
      <c r="M82" s="2109"/>
      <c r="N82" s="2219"/>
      <c r="O82" s="2003" t="s">
        <v>5147</v>
      </c>
      <c r="P82" s="2156"/>
      <c r="V82" s="2140"/>
      <c r="AM82" s="2495">
        <v>82</v>
      </c>
    </row>
    <row r="83" spans="1:39" ht="15.95" customHeight="1">
      <c r="A83" s="2109"/>
      <c r="B83" s="2131" t="s">
        <v>4843</v>
      </c>
      <c r="C83" s="2109"/>
      <c r="D83" s="2109"/>
      <c r="E83" s="2109"/>
      <c r="F83" s="2109"/>
      <c r="G83" s="2109"/>
      <c r="H83" s="2109"/>
      <c r="I83" s="2109"/>
      <c r="J83" s="2109"/>
      <c r="K83" s="2109"/>
      <c r="M83" s="2111"/>
      <c r="O83" s="2122"/>
      <c r="AM83" s="2494">
        <v>83</v>
      </c>
    </row>
    <row r="84" spans="1:39" ht="15.95" customHeight="1">
      <c r="A84" s="3776" t="s">
        <v>5216</v>
      </c>
      <c r="B84" s="3777"/>
      <c r="C84" s="3777"/>
      <c r="D84" s="3777"/>
      <c r="E84" s="3777"/>
      <c r="F84" s="3777"/>
      <c r="G84" s="3777"/>
      <c r="H84" s="3777"/>
      <c r="I84" s="3777"/>
      <c r="J84" s="3777"/>
      <c r="K84" s="3777"/>
      <c r="L84" s="3777"/>
      <c r="M84" s="3777"/>
      <c r="N84" s="3777"/>
      <c r="O84" s="3777"/>
      <c r="P84" s="3778"/>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6"/>
      <c r="B86" s="3757"/>
      <c r="C86" s="3757"/>
      <c r="D86" s="3757"/>
      <c r="E86" s="3757"/>
      <c r="F86" s="3757"/>
      <c r="G86" s="3757"/>
      <c r="H86" s="3757"/>
      <c r="I86" s="3757"/>
      <c r="J86" s="3757"/>
      <c r="K86" s="3757"/>
      <c r="L86" s="3757"/>
      <c r="M86" s="3757"/>
      <c r="N86" s="3757"/>
      <c r="O86" s="3757"/>
      <c r="P86" s="375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3905</v>
      </c>
      <c r="D89" s="2133"/>
      <c r="E89" s="2133"/>
      <c r="K89" s="2146"/>
      <c r="L89" s="2142" t="s">
        <v>4892</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1836</v>
      </c>
      <c r="B92" s="2120" t="s">
        <v>4742</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4937</v>
      </c>
      <c r="D93" s="2133"/>
      <c r="E93" s="2133"/>
      <c r="L93" s="2146"/>
      <c r="M93" s="2226"/>
      <c r="N93" s="2111"/>
      <c r="O93" s="2025">
        <v>0</v>
      </c>
      <c r="P93" s="2227"/>
      <c r="Q93" s="2144"/>
      <c r="AM93" s="2494">
        <v>93</v>
      </c>
    </row>
    <row r="94" spans="1:39" s="2109" customFormat="1" ht="15.95" customHeight="1">
      <c r="A94" s="2112"/>
      <c r="B94" s="2154" t="s">
        <v>1841</v>
      </c>
      <c r="C94" s="2109" t="s">
        <v>4938</v>
      </c>
      <c r="D94" s="2133"/>
      <c r="E94" s="2133"/>
      <c r="L94" s="2146"/>
      <c r="M94" s="2226"/>
      <c r="N94" s="2111"/>
      <c r="O94" s="2104">
        <v>0</v>
      </c>
      <c r="P94" s="2228"/>
      <c r="Q94" s="2144"/>
      <c r="AM94" s="2495">
        <v>94</v>
      </c>
    </row>
    <row r="95" spans="1:39" s="2109" customFormat="1" ht="15.95" customHeight="1">
      <c r="A95" s="2112" t="s">
        <v>1838</v>
      </c>
      <c r="B95" s="2120" t="s">
        <v>4743</v>
      </c>
      <c r="D95" s="2133"/>
      <c r="E95" s="2133"/>
      <c r="L95" s="2146"/>
      <c r="M95" s="2112"/>
      <c r="N95" s="2111"/>
      <c r="O95" s="2026">
        <v>0</v>
      </c>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6"/>
      <c r="B97" s="3757"/>
      <c r="C97" s="3757"/>
      <c r="D97" s="3757"/>
      <c r="E97" s="3757"/>
      <c r="F97" s="3757"/>
      <c r="G97" s="3757"/>
      <c r="H97" s="3757"/>
      <c r="I97" s="3757"/>
      <c r="J97" s="3757"/>
      <c r="K97" s="3757"/>
      <c r="L97" s="3757"/>
      <c r="M97" s="3757"/>
      <c r="N97" s="3757"/>
      <c r="O97" s="3757"/>
      <c r="P97" s="375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4498</v>
      </c>
      <c r="C100" s="2161"/>
      <c r="D100" s="2161"/>
      <c r="E100" s="2161"/>
      <c r="F100" s="2161"/>
      <c r="G100" s="2230" t="s">
        <v>4869</v>
      </c>
      <c r="H100" s="2161"/>
      <c r="K100" s="2161"/>
      <c r="L100" s="2142" t="s">
        <v>4892</v>
      </c>
      <c r="M100" s="2112">
        <v>5</v>
      </c>
      <c r="N100" s="2173"/>
      <c r="O100" s="2143">
        <f>IF(OR((O101+O107+O108)&gt;$M100,(O101+O107)&gt;$M101,O108&gt;$M$108),"Check",IF((O101+O107+O108)&lt;=$M$100,(O101+O107+O108),""))</f>
        <v>2</v>
      </c>
      <c r="P100" s="2143">
        <f>IF(OR((P101+P107+P108)&gt;$M100,(P101+P107)&gt;$M101,P108&gt;$M$108),"Check",IF((P101+P107+P108)&lt;=$M$100,(P101+P107+P108),""))</f>
        <v>2</v>
      </c>
      <c r="Q100" s="2144" t="s">
        <v>415</v>
      </c>
      <c r="R100" s="2150"/>
      <c r="AM100" s="2495">
        <v>100</v>
      </c>
    </row>
    <row r="101" spans="1:39" ht="15.95" customHeight="1">
      <c r="A101" s="2112" t="s">
        <v>1836</v>
      </c>
      <c r="B101" s="2120" t="s">
        <v>4866</v>
      </c>
      <c r="C101" s="2109"/>
      <c r="D101" s="2109"/>
      <c r="E101" s="2120"/>
      <c r="F101" s="2109"/>
      <c r="G101" s="2210"/>
      <c r="H101" s="2109"/>
      <c r="I101" s="2109"/>
      <c r="J101" s="2109"/>
      <c r="K101" s="2111"/>
      <c r="L101" s="2147"/>
      <c r="M101" s="2111">
        <v>3</v>
      </c>
      <c r="N101" s="2231"/>
      <c r="O101" s="2232">
        <f>IF(AND(O103&gt;0,O104&gt;0),"1or2?",MIN($M101,SUM(O103,O104)))</f>
        <v>0</v>
      </c>
      <c r="P101" s="2232">
        <f>IF(AND(P103&gt;0,P104&gt;0),"1or2?",MIN($M101,SUM(P103,P104)))</f>
        <v>0</v>
      </c>
      <c r="Q101" s="2149" t="str">
        <f>IF(OR($O101=$M101,$O101=0,$O101=""),"","*CHECK!*")</f>
        <v/>
      </c>
      <c r="R101" s="2150"/>
      <c r="AM101" s="2495">
        <v>101</v>
      </c>
    </row>
    <row r="102" spans="1:39" ht="31.5" customHeight="1">
      <c r="A102" s="2112"/>
      <c r="B102" s="3906" t="s">
        <v>5021</v>
      </c>
      <c r="C102" s="3906"/>
      <c r="D102" s="3906"/>
      <c r="E102" s="3906"/>
      <c r="F102" s="3906"/>
      <c r="G102" s="3906"/>
      <c r="H102" s="3906"/>
      <c r="I102" s="3906"/>
      <c r="J102" s="3906"/>
      <c r="K102" s="3906"/>
      <c r="L102" s="3906"/>
      <c r="M102" s="2111"/>
      <c r="N102" s="2111"/>
      <c r="O102" s="2111"/>
      <c r="P102" s="2111"/>
      <c r="Q102" s="2149"/>
      <c r="R102" s="2150"/>
      <c r="AM102" s="2495">
        <v>102</v>
      </c>
    </row>
    <row r="103" spans="1:39" s="2164" customFormat="1" ht="15.95" customHeight="1">
      <c r="A103" s="2112"/>
      <c r="B103" s="2151" t="s">
        <v>1839</v>
      </c>
      <c r="C103" s="2109" t="s">
        <v>4867</v>
      </c>
      <c r="D103" s="2127"/>
      <c r="E103" s="2127"/>
      <c r="F103" s="2127"/>
      <c r="G103" s="2109"/>
      <c r="H103" s="2127"/>
      <c r="I103" s="2127"/>
      <c r="J103" s="3908" t="s">
        <v>4678</v>
      </c>
      <c r="K103" s="3909"/>
      <c r="L103" s="2127"/>
      <c r="M103" s="2214">
        <v>2</v>
      </c>
      <c r="N103" s="2233"/>
      <c r="O103" s="2009"/>
      <c r="P103" s="2279"/>
      <c r="Q103" s="2149" t="str">
        <f>IF(OR($O103=$M103,$O103=0,$O103=""),"","*CHECK!*")</f>
        <v/>
      </c>
      <c r="R103" s="2150"/>
      <c r="AM103" s="2494">
        <v>103</v>
      </c>
    </row>
    <row r="104" spans="1:39" s="2164" customFormat="1" ht="15.95" customHeight="1">
      <c r="A104" s="2112"/>
      <c r="B104" s="2154" t="s">
        <v>1841</v>
      </c>
      <c r="C104" s="2109" t="s">
        <v>4868</v>
      </c>
      <c r="D104" s="2127"/>
      <c r="E104" s="2127"/>
      <c r="F104" s="2127"/>
      <c r="G104" s="2109"/>
      <c r="H104" s="2127"/>
      <c r="J104" s="2499" t="s">
        <v>4679</v>
      </c>
      <c r="K104" s="2500" t="s">
        <v>5039</v>
      </c>
      <c r="L104" s="2497"/>
      <c r="M104" s="2214">
        <v>3</v>
      </c>
      <c r="N104" s="2233"/>
      <c r="O104" s="2013"/>
      <c r="P104" s="2238"/>
      <c r="Q104" s="2149" t="str">
        <f>IF(OR($O104=$M104,$O104=0,$O104=""),"","*CHECK!*")</f>
        <v/>
      </c>
      <c r="R104" s="2150"/>
      <c r="AM104" s="2495">
        <v>104</v>
      </c>
    </row>
    <row r="105" spans="1:39">
      <c r="B105" s="2108" t="s">
        <v>5020</v>
      </c>
      <c r="H105" s="2142"/>
      <c r="J105" s="2498">
        <f>'Part V-Revenues &amp; Expenses'!P67*'Part VIII Scoring Criteria'!K105</f>
        <v>7.2</v>
      </c>
      <c r="K105" s="2454">
        <v>0.1</v>
      </c>
      <c r="M105" s="2142" t="s">
        <v>5038</v>
      </c>
      <c r="O105" s="2001"/>
      <c r="P105" s="2241"/>
      <c r="T105" s="2140"/>
      <c r="U105" s="2140"/>
      <c r="AM105" s="2494">
        <v>105</v>
      </c>
    </row>
    <row r="106" spans="1:39" ht="41.45" customHeight="1">
      <c r="B106" s="3907" t="s">
        <v>5019</v>
      </c>
      <c r="C106" s="3907"/>
      <c r="D106" s="3907"/>
      <c r="E106" s="3907"/>
      <c r="F106" s="3907"/>
      <c r="G106" s="3907"/>
      <c r="H106" s="3907"/>
      <c r="I106" s="3907"/>
      <c r="J106" s="3907"/>
      <c r="K106" s="3907"/>
      <c r="L106" s="3907"/>
      <c r="O106" s="2016"/>
      <c r="P106" s="2162"/>
      <c r="T106" s="2140"/>
      <c r="U106" s="2140"/>
      <c r="AM106" s="2494">
        <v>106</v>
      </c>
    </row>
    <row r="107" spans="1:39" ht="15.95" customHeight="1">
      <c r="A107" s="2112" t="s">
        <v>1838</v>
      </c>
      <c r="B107" s="2120" t="s">
        <v>4134</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4865</v>
      </c>
      <c r="G108" s="2234" t="s">
        <v>4870</v>
      </c>
      <c r="M108" s="2111">
        <v>2</v>
      </c>
      <c r="N108" s="2231"/>
      <c r="O108" s="2157">
        <f>O109-O110</f>
        <v>2</v>
      </c>
      <c r="P108" s="2157">
        <f>P109-P110</f>
        <v>2</v>
      </c>
      <c r="Q108" s="2149" t="str">
        <f>IF(OR($O108=$M108,$O108=0,$O108=""),"","*CHECK!*")</f>
        <v/>
      </c>
      <c r="AM108" s="2494">
        <v>108</v>
      </c>
    </row>
    <row r="109" spans="1:39" s="2109" customFormat="1" ht="15.95" customHeight="1">
      <c r="A109" s="2223"/>
      <c r="C109" s="2120" t="s">
        <v>3092</v>
      </c>
      <c r="D109" s="2133"/>
      <c r="E109" s="2133"/>
      <c r="L109" s="2146"/>
      <c r="M109" s="2112"/>
      <c r="N109" s="2111"/>
      <c r="O109" s="2235">
        <v>2</v>
      </c>
      <c r="P109" s="2235">
        <v>2</v>
      </c>
      <c r="Q109" s="2144"/>
      <c r="AM109" s="2494">
        <v>109</v>
      </c>
    </row>
    <row r="110" spans="1:39" s="2109" customFormat="1" ht="15.95" customHeight="1">
      <c r="A110" s="2223"/>
      <c r="C110" s="2120" t="s">
        <v>3093</v>
      </c>
      <c r="D110" s="2133"/>
      <c r="E110" s="2133"/>
      <c r="L110" s="2146"/>
      <c r="M110" s="2112"/>
      <c r="N110" s="2111"/>
      <c r="O110" s="2026">
        <v>0</v>
      </c>
      <c r="P110" s="2229"/>
      <c r="Q110" s="2144"/>
      <c r="R110" s="2150"/>
      <c r="AM110" s="2494">
        <v>110</v>
      </c>
    </row>
    <row r="111" spans="1:39" ht="15.95" customHeight="1">
      <c r="A111" s="2109"/>
      <c r="B111" s="2131" t="s">
        <v>4843</v>
      </c>
      <c r="C111" s="2109"/>
      <c r="D111" s="2109"/>
      <c r="E111" s="2109"/>
      <c r="F111" s="2109"/>
      <c r="G111" s="2109"/>
      <c r="H111" s="2109"/>
      <c r="I111" s="2109"/>
      <c r="J111" s="2109"/>
      <c r="K111" s="2109"/>
      <c r="M111" s="2111"/>
      <c r="O111" s="2122"/>
      <c r="AM111" s="2494">
        <v>111</v>
      </c>
    </row>
    <row r="112" spans="1:39" ht="15.95" customHeight="1">
      <c r="A112" s="3776" t="s">
        <v>5179</v>
      </c>
      <c r="B112" s="3777"/>
      <c r="C112" s="3777"/>
      <c r="D112" s="3777"/>
      <c r="E112" s="3777"/>
      <c r="F112" s="3777"/>
      <c r="G112" s="3777"/>
      <c r="H112" s="3777"/>
      <c r="I112" s="3777"/>
      <c r="J112" s="3777"/>
      <c r="K112" s="3777"/>
      <c r="L112" s="3777"/>
      <c r="M112" s="3777"/>
      <c r="N112" s="3777"/>
      <c r="O112" s="3777"/>
      <c r="P112" s="3778"/>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6"/>
      <c r="B114" s="3757"/>
      <c r="C114" s="3757"/>
      <c r="D114" s="3757"/>
      <c r="E114" s="3757"/>
      <c r="F114" s="3757"/>
      <c r="G114" s="3757"/>
      <c r="H114" s="3757"/>
      <c r="I114" s="3757"/>
      <c r="J114" s="3757"/>
      <c r="K114" s="3757"/>
      <c r="L114" s="3757"/>
      <c r="M114" s="3757"/>
      <c r="N114" s="3757"/>
      <c r="O114" s="3757"/>
      <c r="P114" s="375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4844</v>
      </c>
      <c r="D117" s="2133"/>
      <c r="E117" s="2133"/>
      <c r="L117" s="2142" t="s">
        <v>4892</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4887</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4964</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4968</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4962</v>
      </c>
      <c r="F121" s="2112"/>
      <c r="I121" s="2112"/>
      <c r="J121" s="2111" t="s">
        <v>4963</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4965</v>
      </c>
      <c r="F122" s="2112"/>
      <c r="I122" s="2112"/>
      <c r="J122" s="2097" t="s">
        <v>5180</v>
      </c>
      <c r="M122" s="2214"/>
      <c r="N122" s="2147"/>
      <c r="O122" s="2397" t="str">
        <f>IF($J122="Submitted", "Yes","")</f>
        <v>Yes</v>
      </c>
      <c r="P122" s="2153"/>
      <c r="Q122" s="2147"/>
      <c r="V122" s="2140"/>
      <c r="AM122" s="2494">
        <v>122</v>
      </c>
    </row>
    <row r="123" spans="1:39" s="2109" customFormat="1" ht="15.95" customHeight="1">
      <c r="A123" s="2112"/>
      <c r="B123" s="2152"/>
      <c r="C123" s="2120"/>
      <c r="D123" s="2141" t="s">
        <v>4966</v>
      </c>
      <c r="F123" s="2112"/>
      <c r="I123" s="2112"/>
      <c r="J123" s="2016" t="s">
        <v>5180</v>
      </c>
      <c r="K123" s="2147"/>
      <c r="M123" s="2214"/>
      <c r="N123" s="2147"/>
      <c r="O123" s="2398" t="str">
        <f>IF($J123="Submitted", "Yes","")</f>
        <v>Yes</v>
      </c>
      <c r="P123" s="2162"/>
      <c r="Q123" s="2147"/>
      <c r="V123" s="2140"/>
      <c r="AM123" s="2494">
        <v>123</v>
      </c>
    </row>
    <row r="124" spans="1:39" s="2109" customFormat="1" ht="15.95" customHeight="1">
      <c r="A124" s="2112"/>
      <c r="B124" s="2152"/>
      <c r="C124" s="2141" t="s">
        <v>4889</v>
      </c>
      <c r="D124" s="2120"/>
      <c r="F124" s="2112"/>
      <c r="I124" s="2112"/>
      <c r="J124" s="2018" t="s">
        <v>5180</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4890</v>
      </c>
      <c r="D125" s="2120"/>
      <c r="F125" s="2112"/>
      <c r="I125" s="2112"/>
      <c r="J125" s="2018" t="s">
        <v>5180</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4967</v>
      </c>
      <c r="D126" s="2120"/>
      <c r="F126" s="2112"/>
      <c r="I126" s="2112"/>
      <c r="J126" s="2018" t="s">
        <v>5180</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5009</v>
      </c>
      <c r="D127" s="2120"/>
      <c r="F127" s="2112"/>
      <c r="V127" s="2140"/>
      <c r="AM127" s="2494">
        <v>127</v>
      </c>
    </row>
    <row r="128" spans="1:39" s="2109" customFormat="1" ht="15.95" customHeight="1">
      <c r="A128" s="2112"/>
      <c r="B128" s="2154"/>
      <c r="C128" s="2141" t="s">
        <v>5010</v>
      </c>
      <c r="F128" s="2111"/>
      <c r="I128" s="2111"/>
      <c r="J128" s="2018" t="s">
        <v>5180</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4969</v>
      </c>
      <c r="D129" s="2164"/>
      <c r="E129" s="2164"/>
      <c r="F129" s="2164"/>
      <c r="G129" s="2164"/>
      <c r="H129" s="2164"/>
      <c r="I129" s="2164"/>
      <c r="J129" s="2018" t="s">
        <v>5180</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4970</v>
      </c>
      <c r="F130" s="2112"/>
      <c r="I130" s="2112"/>
      <c r="J130" s="2018" t="s">
        <v>5180</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4891</v>
      </c>
      <c r="F131" s="2112"/>
      <c r="I131" s="2112"/>
      <c r="J131" s="2018" t="s">
        <v>5180</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4971</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4888</v>
      </c>
      <c r="H133" s="2147"/>
      <c r="I133" s="2106"/>
      <c r="J133" s="2106"/>
      <c r="K133" s="2106"/>
      <c r="L133" s="2106"/>
      <c r="M133" s="2111"/>
      <c r="N133" s="2111"/>
      <c r="O133" s="2111"/>
      <c r="P133" s="2111"/>
      <c r="Q133" s="2111"/>
      <c r="R133" s="2150"/>
      <c r="AM133" s="2495">
        <v>133</v>
      </c>
    </row>
    <row r="134" spans="1:39" ht="282.75" customHeight="1">
      <c r="B134" s="3903" t="s">
        <v>5203</v>
      </c>
      <c r="C134" s="3904"/>
      <c r="D134" s="3904"/>
      <c r="E134" s="3904"/>
      <c r="F134" s="3904"/>
      <c r="G134" s="3904"/>
      <c r="H134" s="3904"/>
      <c r="I134" s="3904"/>
      <c r="J134" s="3904"/>
      <c r="K134" s="3904"/>
      <c r="L134" s="3904"/>
      <c r="M134" s="3904"/>
      <c r="N134" s="3904"/>
      <c r="O134" s="3904"/>
      <c r="P134" s="3905"/>
      <c r="Q134" s="2192"/>
      <c r="R134" s="2192"/>
      <c r="AM134" s="2495">
        <v>134</v>
      </c>
    </row>
    <row r="135" spans="1:39" ht="15.95" customHeight="1">
      <c r="A135" s="2109"/>
      <c r="B135" s="2131" t="s">
        <v>4843</v>
      </c>
      <c r="C135" s="2109"/>
      <c r="D135" s="2109"/>
      <c r="E135" s="2109"/>
      <c r="F135" s="2109"/>
      <c r="G135" s="2109"/>
      <c r="H135" s="2109"/>
      <c r="I135" s="2109"/>
      <c r="J135" s="2109"/>
      <c r="K135" s="2109"/>
      <c r="M135" s="2111"/>
      <c r="O135" s="2122"/>
      <c r="AM135" s="2495">
        <v>135</v>
      </c>
    </row>
    <row r="136" spans="1:39" ht="15.95" customHeight="1">
      <c r="A136" s="3776" t="s">
        <v>5204</v>
      </c>
      <c r="B136" s="3777"/>
      <c r="C136" s="3777"/>
      <c r="D136" s="3777"/>
      <c r="E136" s="3777"/>
      <c r="F136" s="3777"/>
      <c r="G136" s="3777"/>
      <c r="H136" s="3777"/>
      <c r="I136" s="3777"/>
      <c r="J136" s="3777"/>
      <c r="K136" s="3777"/>
      <c r="L136" s="3777"/>
      <c r="M136" s="3777"/>
      <c r="N136" s="3777"/>
      <c r="O136" s="3777"/>
      <c r="P136" s="3778"/>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6"/>
      <c r="B138" s="3757"/>
      <c r="C138" s="3757"/>
      <c r="D138" s="3757"/>
      <c r="E138" s="3757"/>
      <c r="F138" s="3757"/>
      <c r="G138" s="3757"/>
      <c r="H138" s="3757"/>
      <c r="I138" s="3757"/>
      <c r="J138" s="3757"/>
      <c r="K138" s="3757"/>
      <c r="L138" s="3757"/>
      <c r="M138" s="3757"/>
      <c r="N138" s="3757"/>
      <c r="O138" s="3757"/>
      <c r="P138" s="375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4939</v>
      </c>
      <c r="L141" s="2142" t="s">
        <v>4892</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3692</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4707</v>
      </c>
      <c r="C143" s="2127"/>
      <c r="D143" s="2127"/>
      <c r="E143" s="2127"/>
      <c r="F143" s="2127"/>
      <c r="G143" s="2248"/>
      <c r="H143" s="2108" t="s">
        <v>4539</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3687</v>
      </c>
      <c r="H144" s="2109" t="s">
        <v>3688</v>
      </c>
      <c r="I144" s="2251"/>
      <c r="K144" s="2252">
        <f>'Part V-Revenues &amp; Expenses'!$B$50</f>
        <v>50</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3689</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4710</v>
      </c>
      <c r="H147" s="2255" t="s">
        <v>4692</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6"/>
      <c r="B149" s="3757"/>
      <c r="C149" s="3757"/>
      <c r="D149" s="3757"/>
      <c r="E149" s="3757"/>
      <c r="F149" s="3757"/>
      <c r="G149" s="3757"/>
      <c r="H149" s="3757"/>
      <c r="I149" s="3757"/>
      <c r="J149" s="3757"/>
      <c r="K149" s="3757"/>
      <c r="L149" s="3757"/>
      <c r="M149" s="3757"/>
      <c r="N149" s="3757"/>
      <c r="O149" s="3757"/>
      <c r="P149" s="375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4845</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4972</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4843</v>
      </c>
      <c r="C154" s="2109"/>
      <c r="D154" s="2109"/>
      <c r="E154" s="2109"/>
      <c r="F154" s="2109"/>
      <c r="G154" s="2109"/>
      <c r="H154" s="2109"/>
      <c r="I154" s="2109"/>
      <c r="J154" s="2109"/>
      <c r="K154" s="2109"/>
      <c r="M154" s="2111"/>
      <c r="O154" s="2122"/>
      <c r="AM154" s="2495">
        <v>154</v>
      </c>
    </row>
    <row r="155" spans="1:39" ht="15.95" customHeight="1">
      <c r="A155" s="3776" t="s">
        <v>5181</v>
      </c>
      <c r="B155" s="3777"/>
      <c r="C155" s="3777"/>
      <c r="D155" s="3777"/>
      <c r="E155" s="3777"/>
      <c r="F155" s="3777"/>
      <c r="G155" s="3777"/>
      <c r="H155" s="3777"/>
      <c r="I155" s="3777"/>
      <c r="J155" s="3777"/>
      <c r="K155" s="3777"/>
      <c r="L155" s="3777"/>
      <c r="M155" s="3777"/>
      <c r="N155" s="3777"/>
      <c r="O155" s="3777"/>
      <c r="P155" s="3778"/>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6"/>
      <c r="B157" s="3757"/>
      <c r="C157" s="3757"/>
      <c r="D157" s="3757"/>
      <c r="E157" s="3757"/>
      <c r="F157" s="3757"/>
      <c r="G157" s="3757"/>
      <c r="H157" s="3757"/>
      <c r="I157" s="3757"/>
      <c r="J157" s="3757"/>
      <c r="K157" s="3757"/>
      <c r="L157" s="3757"/>
      <c r="M157" s="3757"/>
      <c r="N157" s="3757"/>
      <c r="O157" s="3757"/>
      <c r="P157" s="375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4892</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3194</v>
      </c>
      <c r="H162" s="2147"/>
      <c r="I162" s="2106"/>
      <c r="J162" s="2106"/>
      <c r="K162" s="2226"/>
      <c r="L162" s="2106"/>
      <c r="M162" s="2111" t="s">
        <v>1163</v>
      </c>
      <c r="N162" s="2147"/>
      <c r="O162" s="2040">
        <v>0</v>
      </c>
      <c r="P162" s="2261"/>
      <c r="R162" s="2150"/>
      <c r="AM162" s="2494">
        <v>162</v>
      </c>
    </row>
    <row r="163" spans="1:39" ht="15.95" customHeight="1">
      <c r="A163" s="2109"/>
      <c r="B163" s="2131" t="s">
        <v>4843</v>
      </c>
      <c r="C163" s="2109"/>
      <c r="D163" s="2109"/>
      <c r="E163" s="2109"/>
      <c r="F163" s="2109"/>
      <c r="G163" s="2109"/>
      <c r="H163" s="2109"/>
      <c r="I163" s="2109"/>
      <c r="J163" s="2109"/>
      <c r="K163" s="2109"/>
      <c r="M163" s="2111"/>
      <c r="O163" s="2122"/>
      <c r="AM163" s="2494">
        <v>163</v>
      </c>
    </row>
    <row r="164" spans="1:39" ht="15.95" customHeight="1">
      <c r="A164" s="3776" t="s">
        <v>5182</v>
      </c>
      <c r="B164" s="3777"/>
      <c r="C164" s="3777"/>
      <c r="D164" s="3777"/>
      <c r="E164" s="3777"/>
      <c r="F164" s="3777"/>
      <c r="G164" s="3777"/>
      <c r="H164" s="3777"/>
      <c r="I164" s="3777"/>
      <c r="J164" s="3777"/>
      <c r="K164" s="3777"/>
      <c r="L164" s="3777"/>
      <c r="M164" s="3777"/>
      <c r="N164" s="3777"/>
      <c r="O164" s="3777"/>
      <c r="P164" s="3778"/>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6"/>
      <c r="B166" s="3757"/>
      <c r="C166" s="3757"/>
      <c r="D166" s="3757"/>
      <c r="E166" s="3757"/>
      <c r="F166" s="3757"/>
      <c r="G166" s="3757"/>
      <c r="H166" s="3757"/>
      <c r="I166" s="3757"/>
      <c r="J166" s="3757"/>
      <c r="K166" s="3757"/>
      <c r="L166" s="3757"/>
      <c r="M166" s="3757"/>
      <c r="N166" s="3757"/>
      <c r="O166" s="3757"/>
      <c r="P166" s="375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4892</v>
      </c>
      <c r="M169" s="2112">
        <v>6</v>
      </c>
      <c r="N169" s="2147"/>
      <c r="O169" s="2212">
        <f>IF($F$12="New Affordability",MAX(O177,O180),0)</f>
        <v>3</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896" t="s">
        <v>3130</v>
      </c>
      <c r="G171" s="3896"/>
      <c r="H171" s="3896"/>
      <c r="I171" s="3896"/>
      <c r="J171" s="3896" t="s">
        <v>3131</v>
      </c>
      <c r="K171" s="3896"/>
      <c r="L171" s="3896"/>
      <c r="M171" s="3896"/>
      <c r="N171" s="2147"/>
      <c r="O171" s="3897" t="s">
        <v>4693</v>
      </c>
      <c r="P171" s="3897"/>
      <c r="AM171" s="2495">
        <v>171</v>
      </c>
    </row>
    <row r="172" spans="1:39" ht="15.95" customHeight="1">
      <c r="B172" s="2264"/>
      <c r="C172" s="2265" t="s">
        <v>4694</v>
      </c>
      <c r="F172" s="3899">
        <v>34.014997999999999</v>
      </c>
      <c r="G172" s="3900"/>
      <c r="H172" s="3901"/>
      <c r="I172" s="3902"/>
      <c r="J172" s="3899">
        <v>-83.823733000000004</v>
      </c>
      <c r="K172" s="3900"/>
      <c r="L172" s="3901"/>
      <c r="M172" s="3902"/>
      <c r="N172" s="2108"/>
      <c r="O172" s="3898"/>
      <c r="P172" s="3898"/>
      <c r="AM172" s="2494">
        <v>172</v>
      </c>
    </row>
    <row r="173" spans="1:39" ht="15.95" customHeight="1">
      <c r="A173" s="2264"/>
      <c r="B173" s="2266"/>
      <c r="C173" s="2265" t="s">
        <v>4695</v>
      </c>
      <c r="F173" s="3891">
        <v>33.901359999999997</v>
      </c>
      <c r="G173" s="3892"/>
      <c r="H173" s="3893"/>
      <c r="I173" s="3894"/>
      <c r="J173" s="3891">
        <v>-84.206090000000003</v>
      </c>
      <c r="K173" s="3892"/>
      <c r="L173" s="3893"/>
      <c r="M173" s="3894"/>
      <c r="N173" s="2147"/>
      <c r="O173" s="2007">
        <v>0.12</v>
      </c>
      <c r="P173" s="2267"/>
      <c r="AM173" s="2495">
        <v>173</v>
      </c>
    </row>
    <row r="174" spans="1:39" ht="15.95" customHeight="1">
      <c r="A174" s="2266"/>
      <c r="B174" s="3895" t="s">
        <v>4716</v>
      </c>
      <c r="C174" s="3895"/>
      <c r="D174" s="3895"/>
      <c r="E174" s="3895"/>
      <c r="F174" s="2129" t="s">
        <v>4696</v>
      </c>
      <c r="G174" s="3809" t="s">
        <v>1667</v>
      </c>
      <c r="H174" s="3809"/>
      <c r="I174" s="3809"/>
      <c r="J174" s="3809" t="s">
        <v>4713</v>
      </c>
      <c r="K174" s="3809"/>
      <c r="L174" s="3809"/>
      <c r="M174" s="3809"/>
      <c r="N174" s="3809"/>
      <c r="O174" s="3809"/>
      <c r="P174" s="3809"/>
      <c r="AM174" s="2494">
        <v>174</v>
      </c>
    </row>
    <row r="175" spans="1:39" ht="15.95" customHeight="1">
      <c r="A175" s="2266"/>
      <c r="B175" s="3887" t="s">
        <v>5183</v>
      </c>
      <c r="C175" s="3887"/>
      <c r="D175" s="3887"/>
      <c r="E175" s="3887"/>
      <c r="F175" s="2041">
        <v>7708225010</v>
      </c>
      <c r="G175" s="3888" t="s">
        <v>5184</v>
      </c>
      <c r="H175" s="3888"/>
      <c r="I175" s="3888"/>
      <c r="J175" s="3888" t="s">
        <v>5185</v>
      </c>
      <c r="K175" s="3888"/>
      <c r="L175" s="3888"/>
      <c r="M175" s="3888"/>
      <c r="N175" s="3888"/>
      <c r="O175" s="3888"/>
      <c r="P175" s="3888"/>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3152</v>
      </c>
      <c r="F177" s="2268"/>
      <c r="L177" s="2211" t="s">
        <v>4863</v>
      </c>
      <c r="M177" s="2112">
        <v>6</v>
      </c>
      <c r="N177" s="2191"/>
      <c r="O177" s="2269">
        <f>IF(OR($J$12="Atlanta Metro",$J$12="Other Metro",$J$12="N/A-4%"),MIN($M177,O178+O179),0)</f>
        <v>0</v>
      </c>
      <c r="P177" s="2269">
        <f>IF(OR($L$12="Atlanta Metro",$L$12="Other Metro",$L$12="N/A-4%"),MIN($M177,P178+P179),0)</f>
        <v>0</v>
      </c>
      <c r="Q177" s="2144"/>
      <c r="S177" s="2270" t="s">
        <v>4159</v>
      </c>
      <c r="T177" s="2270" t="s">
        <v>4044</v>
      </c>
      <c r="AM177" s="2494">
        <v>177</v>
      </c>
    </row>
    <row r="178" spans="1:39" s="2164" customFormat="1" ht="29.45" customHeight="1">
      <c r="A178" s="2165"/>
      <c r="B178" s="2154" t="s">
        <v>1839</v>
      </c>
      <c r="C178" s="3889" t="s">
        <v>4708</v>
      </c>
      <c r="D178" s="3889"/>
      <c r="E178" s="3889"/>
      <c r="F178" s="3889"/>
      <c r="G178" s="3889"/>
      <c r="H178" s="3889"/>
      <c r="I178" s="3889"/>
      <c r="J178" s="3889"/>
      <c r="K178" s="3889"/>
      <c r="L178" s="2146" t="str">
        <f t="shared" ref="L178" si="4">IF(OR($O178=$M178,$O178=0,$O178=""),"","* * Check Score! * *")</f>
        <v/>
      </c>
      <c r="M178" s="2165">
        <v>6</v>
      </c>
      <c r="N178" s="2217"/>
      <c r="O178" s="2008"/>
      <c r="P178" s="2271"/>
      <c r="R178" s="3890" t="s">
        <v>4562</v>
      </c>
      <c r="S178" s="2272">
        <v>0.25</v>
      </c>
      <c r="T178" s="2272">
        <v>5</v>
      </c>
      <c r="AM178" s="2494">
        <v>178</v>
      </c>
    </row>
    <row r="179" spans="1:39" s="2164" customFormat="1" ht="15.95" customHeight="1">
      <c r="A179" s="2179" t="s">
        <v>1273</v>
      </c>
      <c r="B179" s="2154" t="s">
        <v>1841</v>
      </c>
      <c r="C179" s="2109" t="s">
        <v>4709</v>
      </c>
      <c r="D179" s="2109"/>
      <c r="E179" s="2109"/>
      <c r="F179" s="2109"/>
      <c r="G179" s="2109"/>
      <c r="H179" s="2109"/>
      <c r="I179" s="2109"/>
      <c r="J179" s="2126"/>
      <c r="K179" s="2126"/>
      <c r="L179" s="2146"/>
      <c r="M179" s="2111">
        <v>5</v>
      </c>
      <c r="N179" s="2219"/>
      <c r="O179" s="2005"/>
      <c r="P179" s="2273"/>
      <c r="R179" s="3890"/>
      <c r="S179" s="2272">
        <v>0.5</v>
      </c>
      <c r="T179" s="2272">
        <v>4.5</v>
      </c>
      <c r="AM179" s="2494">
        <v>179</v>
      </c>
    </row>
    <row r="180" spans="1:39" s="2164" customFormat="1" ht="15.95"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3</v>
      </c>
      <c r="P180" s="2250">
        <f>IF(OR(AND(P181&gt;0,P182&gt;0,P183&gt;0), AND(P181&gt;0,P182&gt;0), AND(P182&gt;0,P183&gt;0), AND(P181&gt;0,P183&gt;0)),"Choose", IF(AND(OR($L$12="Atlanta Metro",$L$12="Other Metro",$J$12="N/A-4%"),SUM(P181,P182,P183)&gt;0), MIN($M180,P181+P182), IF(AND(OR($J$12="Rural"),SUM(P181,P182,P183)&gt;0), MIN($M180,P183),0)))</f>
        <v>0</v>
      </c>
      <c r="R180" s="3890"/>
      <c r="S180" s="2277">
        <v>1</v>
      </c>
      <c r="T180" s="2277">
        <v>4</v>
      </c>
      <c r="AM180" s="2495">
        <v>180</v>
      </c>
    </row>
    <row r="181" spans="1:39" ht="15.95" customHeight="1">
      <c r="A181" s="2132"/>
      <c r="B181" s="2278" t="s">
        <v>1839</v>
      </c>
      <c r="C181" s="2109" t="s">
        <v>4697</v>
      </c>
      <c r="D181" s="2127"/>
      <c r="E181" s="2127"/>
      <c r="F181" s="2127"/>
      <c r="G181" s="2127"/>
      <c r="H181" s="2127"/>
      <c r="I181" s="2127"/>
      <c r="J181" s="2127"/>
      <c r="K181" s="2127"/>
      <c r="L181" s="2146" t="str">
        <f t="shared" ref="L181:L183" si="5">IF(OR($O181=$M181,$O181=0,$O181=""),"","* * Check Score! * *")</f>
        <v/>
      </c>
      <c r="M181" s="2111">
        <v>3</v>
      </c>
      <c r="N181" s="2219"/>
      <c r="O181" s="2009">
        <v>3</v>
      </c>
      <c r="P181" s="2279"/>
      <c r="R181" s="3890" t="s">
        <v>4563</v>
      </c>
      <c r="S181" s="2280">
        <v>0.25</v>
      </c>
      <c r="T181" s="2280">
        <v>3</v>
      </c>
      <c r="U181" s="2164"/>
      <c r="AM181" s="2495">
        <v>181</v>
      </c>
    </row>
    <row r="182" spans="1:39" ht="15.95" customHeight="1">
      <c r="A182" s="2179" t="s">
        <v>1273</v>
      </c>
      <c r="B182" s="2278" t="s">
        <v>1841</v>
      </c>
      <c r="C182" s="2109" t="s">
        <v>4715</v>
      </c>
      <c r="D182" s="2127"/>
      <c r="E182" s="2127"/>
      <c r="F182" s="2127"/>
      <c r="G182" s="2127"/>
      <c r="H182" s="2127"/>
      <c r="I182" s="2127"/>
      <c r="J182" s="2266"/>
      <c r="K182" s="2266"/>
      <c r="L182" s="2146" t="str">
        <f t="shared" si="5"/>
        <v/>
      </c>
      <c r="M182" s="2111">
        <v>1</v>
      </c>
      <c r="N182" s="2219"/>
      <c r="O182" s="2010"/>
      <c r="P182" s="2281"/>
      <c r="R182" s="3890"/>
      <c r="S182" s="2272">
        <v>0.5</v>
      </c>
      <c r="T182" s="2272">
        <v>2</v>
      </c>
      <c r="U182" s="2164"/>
      <c r="AM182" s="2495">
        <v>182</v>
      </c>
    </row>
    <row r="183" spans="1:39" s="2164" customFormat="1" ht="29.25" customHeight="1">
      <c r="A183" s="2282" t="s">
        <v>1273</v>
      </c>
      <c r="B183" s="2278" t="s">
        <v>2326</v>
      </c>
      <c r="C183" s="3889" t="s">
        <v>4714</v>
      </c>
      <c r="D183" s="3889"/>
      <c r="E183" s="3889"/>
      <c r="F183" s="3889"/>
      <c r="G183" s="3889"/>
      <c r="H183" s="3889"/>
      <c r="I183" s="3889"/>
      <c r="J183" s="3889"/>
      <c r="K183" s="3889"/>
      <c r="L183" s="2146" t="str">
        <f t="shared" si="5"/>
        <v/>
      </c>
      <c r="M183" s="2165">
        <v>2</v>
      </c>
      <c r="N183" s="2217"/>
      <c r="O183" s="2042"/>
      <c r="P183" s="2283"/>
      <c r="R183" s="3890"/>
      <c r="S183" s="2277">
        <v>1</v>
      </c>
      <c r="T183" s="2277">
        <v>1</v>
      </c>
      <c r="AM183" s="2494">
        <v>183</v>
      </c>
    </row>
    <row r="184" spans="1:39" ht="15.95" customHeight="1">
      <c r="A184" s="2109"/>
      <c r="B184" s="2131" t="s">
        <v>4843</v>
      </c>
      <c r="C184" s="2109"/>
      <c r="D184" s="2109"/>
      <c r="E184" s="2109"/>
      <c r="F184" s="2109"/>
      <c r="G184" s="2109"/>
      <c r="H184" s="2109"/>
      <c r="I184" s="2109"/>
      <c r="J184" s="2109"/>
      <c r="K184" s="2109"/>
      <c r="M184" s="2111"/>
      <c r="O184" s="2122"/>
      <c r="AM184" s="2494">
        <v>184</v>
      </c>
    </row>
    <row r="185" spans="1:39" ht="15.95" customHeight="1">
      <c r="A185" s="3776" t="s">
        <v>5186</v>
      </c>
      <c r="B185" s="3777"/>
      <c r="C185" s="3777"/>
      <c r="D185" s="3777"/>
      <c r="E185" s="3777"/>
      <c r="F185" s="3777"/>
      <c r="G185" s="3777"/>
      <c r="H185" s="3777"/>
      <c r="I185" s="3777"/>
      <c r="J185" s="3777"/>
      <c r="K185" s="3777"/>
      <c r="L185" s="3777"/>
      <c r="M185" s="3777"/>
      <c r="N185" s="3777"/>
      <c r="O185" s="3777"/>
      <c r="P185" s="3778"/>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6"/>
      <c r="B187" s="3757"/>
      <c r="C187" s="3757"/>
      <c r="D187" s="3757"/>
      <c r="E187" s="3757"/>
      <c r="F187" s="3757"/>
      <c r="G187" s="3757"/>
      <c r="H187" s="3757"/>
      <c r="I187" s="3757"/>
      <c r="J187" s="3757"/>
      <c r="K187" s="3757"/>
      <c r="L187" s="3757"/>
      <c r="M187" s="3757"/>
      <c r="N187" s="3757"/>
      <c r="O187" s="3757"/>
      <c r="P187" s="3758"/>
      <c r="Q187" s="2175"/>
      <c r="AM187" s="2494">
        <v>187</v>
      </c>
    </row>
    <row r="188" spans="1:39" ht="9.75" customHeight="1">
      <c r="AM188" s="2495">
        <v>188</v>
      </c>
    </row>
    <row r="189" spans="1:39" ht="9.75" customHeight="1" thickBot="1">
      <c r="AM189" s="2495">
        <v>189</v>
      </c>
    </row>
    <row r="190" spans="1:39" ht="15.95" customHeight="1" thickBot="1">
      <c r="A190" s="2132" t="s">
        <v>1602</v>
      </c>
      <c r="B190" s="2133" t="s">
        <v>4048</v>
      </c>
      <c r="C190" s="2161"/>
      <c r="D190" s="2161"/>
      <c r="E190" s="2161"/>
      <c r="G190" s="2112"/>
      <c r="H190" s="2150"/>
      <c r="L190" s="2142" t="s">
        <v>4892</v>
      </c>
      <c r="M190" s="2112">
        <v>3</v>
      </c>
      <c r="N190" s="2173"/>
      <c r="O190" s="2046">
        <v>1.5</v>
      </c>
      <c r="P190" s="2284"/>
      <c r="Q190" s="2237" t="str">
        <f>IF(OR($O190&lt;=$M190,$O190=0,$O190=""),"","*CHECK!*")</f>
        <v/>
      </c>
      <c r="R190" s="2285" t="s">
        <v>415</v>
      </c>
      <c r="S190" s="2112" t="str">
        <f>$O$12</f>
        <v>9%</v>
      </c>
      <c r="AM190" s="2495">
        <v>190</v>
      </c>
    </row>
    <row r="191" spans="1:39" ht="23.25" customHeight="1">
      <c r="B191" s="2286"/>
      <c r="C191" s="2286"/>
      <c r="D191" s="2286"/>
      <c r="E191" s="2287"/>
      <c r="F191" s="3876" t="s">
        <v>4730</v>
      </c>
      <c r="G191" s="3876"/>
      <c r="H191" s="3876" t="s">
        <v>4731</v>
      </c>
      <c r="I191" s="3876"/>
      <c r="J191" s="3878" t="s">
        <v>4741</v>
      </c>
      <c r="K191" s="3879"/>
      <c r="L191" s="3884" t="s">
        <v>4717</v>
      </c>
      <c r="M191" s="3884"/>
      <c r="N191" s="3884"/>
      <c r="O191" s="3885"/>
      <c r="P191" s="2288"/>
      <c r="AM191" s="2495">
        <v>191</v>
      </c>
    </row>
    <row r="192" spans="1:39" ht="24.6" customHeight="1">
      <c r="B192" s="2286"/>
      <c r="C192" s="2286"/>
      <c r="D192" s="2286"/>
      <c r="E192" s="2287"/>
      <c r="F192" s="3876"/>
      <c r="G192" s="3876"/>
      <c r="H192" s="3876"/>
      <c r="I192" s="3876"/>
      <c r="J192" s="3880"/>
      <c r="K192" s="3881"/>
      <c r="L192" s="3876"/>
      <c r="M192" s="3876"/>
      <c r="N192" s="3876"/>
      <c r="O192" s="3885"/>
      <c r="P192" s="2288"/>
      <c r="AM192" s="2494">
        <v>192</v>
      </c>
    </row>
    <row r="193" spans="1:39" ht="15.95" customHeight="1">
      <c r="B193" s="2289" t="s">
        <v>4523</v>
      </c>
      <c r="C193" s="2290"/>
      <c r="D193" s="2287"/>
      <c r="E193" s="2287"/>
      <c r="F193" s="3877"/>
      <c r="G193" s="3877"/>
      <c r="H193" s="3877"/>
      <c r="I193" s="3877"/>
      <c r="J193" s="3882"/>
      <c r="K193" s="3883"/>
      <c r="L193" s="3877"/>
      <c r="M193" s="3877"/>
      <c r="N193" s="3877"/>
      <c r="O193" s="3886"/>
      <c r="P193" s="2288"/>
      <c r="AM193" s="2495">
        <v>193</v>
      </c>
    </row>
    <row r="194" spans="1:39" ht="15.95" customHeight="1">
      <c r="B194" s="3868" t="s">
        <v>5187</v>
      </c>
      <c r="C194" s="3869"/>
      <c r="D194" s="3869"/>
      <c r="E194" s="3870"/>
      <c r="F194" s="3871" t="s">
        <v>2644</v>
      </c>
      <c r="G194" s="3872"/>
      <c r="H194" s="3871" t="s">
        <v>2641</v>
      </c>
      <c r="I194" s="3872"/>
      <c r="J194" s="3873" t="s">
        <v>2644</v>
      </c>
      <c r="K194" s="3874"/>
      <c r="L194" s="3873" t="s">
        <v>5147</v>
      </c>
      <c r="M194" s="3875"/>
      <c r="N194" s="3875"/>
      <c r="O194" s="3874"/>
      <c r="P194" s="2153"/>
      <c r="AM194" s="2494">
        <v>194</v>
      </c>
    </row>
    <row r="195" spans="1:39" ht="15.95" customHeight="1">
      <c r="B195" s="3852" t="s">
        <v>5188</v>
      </c>
      <c r="C195" s="3853"/>
      <c r="D195" s="3853"/>
      <c r="E195" s="3854"/>
      <c r="F195" s="3855" t="s">
        <v>2644</v>
      </c>
      <c r="G195" s="3856"/>
      <c r="H195" s="3855" t="s">
        <v>2641</v>
      </c>
      <c r="I195" s="3856"/>
      <c r="J195" s="3857" t="s">
        <v>2644</v>
      </c>
      <c r="K195" s="3858"/>
      <c r="L195" s="3857" t="s">
        <v>5147</v>
      </c>
      <c r="M195" s="3859"/>
      <c r="N195" s="3859"/>
      <c r="O195" s="3858"/>
      <c r="P195" s="2155"/>
      <c r="AM195" s="2494">
        <v>195</v>
      </c>
    </row>
    <row r="196" spans="1:39" ht="15.95" customHeight="1">
      <c r="B196" s="3852"/>
      <c r="C196" s="3853"/>
      <c r="D196" s="3853"/>
      <c r="E196" s="3854"/>
      <c r="F196" s="3855"/>
      <c r="G196" s="3856"/>
      <c r="H196" s="3855"/>
      <c r="I196" s="3856"/>
      <c r="J196" s="3857"/>
      <c r="K196" s="3858"/>
      <c r="L196" s="3857"/>
      <c r="M196" s="3859"/>
      <c r="N196" s="3859"/>
      <c r="O196" s="3858"/>
      <c r="P196" s="2155"/>
      <c r="AM196" s="2494">
        <v>196</v>
      </c>
    </row>
    <row r="197" spans="1:39" ht="15.95" customHeight="1">
      <c r="B197" s="3852"/>
      <c r="C197" s="3853"/>
      <c r="D197" s="3853"/>
      <c r="E197" s="3854"/>
      <c r="F197" s="3855"/>
      <c r="G197" s="3856"/>
      <c r="H197" s="3855"/>
      <c r="I197" s="3856"/>
      <c r="J197" s="3857"/>
      <c r="K197" s="3858"/>
      <c r="L197" s="3857"/>
      <c r="M197" s="3859"/>
      <c r="N197" s="3859"/>
      <c r="O197" s="3858"/>
      <c r="P197" s="2155"/>
      <c r="AM197" s="2494">
        <v>197</v>
      </c>
    </row>
    <row r="198" spans="1:39" ht="15.95" customHeight="1">
      <c r="B198" s="3852"/>
      <c r="C198" s="3853"/>
      <c r="D198" s="3853"/>
      <c r="E198" s="3854"/>
      <c r="F198" s="3855"/>
      <c r="G198" s="3856"/>
      <c r="H198" s="3855"/>
      <c r="I198" s="3856"/>
      <c r="J198" s="3857"/>
      <c r="K198" s="3858"/>
      <c r="L198" s="3857"/>
      <c r="M198" s="3859"/>
      <c r="N198" s="3859"/>
      <c r="O198" s="3858"/>
      <c r="P198" s="2155"/>
      <c r="AM198" s="2495">
        <v>198</v>
      </c>
    </row>
    <row r="199" spans="1:39" ht="15.95" customHeight="1">
      <c r="B199" s="3860"/>
      <c r="C199" s="3861"/>
      <c r="D199" s="3861"/>
      <c r="E199" s="3862"/>
      <c r="F199" s="3863"/>
      <c r="G199" s="3864"/>
      <c r="H199" s="3863"/>
      <c r="I199" s="3864"/>
      <c r="J199" s="3865"/>
      <c r="K199" s="3866"/>
      <c r="L199" s="3865"/>
      <c r="M199" s="3867"/>
      <c r="N199" s="3867"/>
      <c r="O199" s="3866"/>
      <c r="P199" s="2156"/>
      <c r="AM199" s="2495">
        <v>199</v>
      </c>
    </row>
    <row r="200" spans="1:39" ht="15.95" customHeight="1">
      <c r="A200" s="2109"/>
      <c r="B200" s="2131" t="s">
        <v>4843</v>
      </c>
      <c r="C200" s="2109"/>
      <c r="D200" s="2109"/>
      <c r="E200" s="2109"/>
      <c r="F200" s="2109"/>
      <c r="G200" s="2109"/>
      <c r="H200" s="2109"/>
      <c r="I200" s="2109"/>
      <c r="J200" s="2109"/>
      <c r="K200" s="2109"/>
      <c r="M200" s="2111"/>
      <c r="O200" s="2122"/>
      <c r="AM200" s="2495">
        <v>200</v>
      </c>
    </row>
    <row r="201" spans="1:39" ht="15.95" customHeight="1">
      <c r="A201" s="3776" t="s">
        <v>5218</v>
      </c>
      <c r="B201" s="3777"/>
      <c r="C201" s="3777"/>
      <c r="D201" s="3777"/>
      <c r="E201" s="3777"/>
      <c r="F201" s="3777"/>
      <c r="G201" s="3777"/>
      <c r="H201" s="3777"/>
      <c r="I201" s="3777"/>
      <c r="J201" s="3777"/>
      <c r="K201" s="3777"/>
      <c r="L201" s="3777"/>
      <c r="M201" s="3777"/>
      <c r="N201" s="3777"/>
      <c r="O201" s="3777"/>
      <c r="P201" s="3778"/>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6"/>
      <c r="B203" s="3757"/>
      <c r="C203" s="3757"/>
      <c r="D203" s="3757"/>
      <c r="E203" s="3757"/>
      <c r="F203" s="3757"/>
      <c r="G203" s="3757"/>
      <c r="H203" s="3757"/>
      <c r="I203" s="3757"/>
      <c r="J203" s="3757"/>
      <c r="K203" s="3757"/>
      <c r="L203" s="3757"/>
      <c r="M203" s="3757"/>
      <c r="N203" s="3757"/>
      <c r="O203" s="3757"/>
      <c r="P203" s="375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3250</v>
      </c>
      <c r="D206" s="2133"/>
      <c r="E206" s="2133"/>
      <c r="K206" s="2453"/>
      <c r="L206" s="2142" t="s">
        <v>4892</v>
      </c>
      <c r="M206" s="2112">
        <v>10</v>
      </c>
      <c r="N206" s="2111"/>
      <c r="O206" s="2212">
        <f>IF(AND($F$12="New Affordability",$C$16="Revitalization/Redevelopment Plans"),MIN($M$206,O212+O222+O229),0)</f>
        <v>10</v>
      </c>
      <c r="P206" s="2212">
        <f>IF(AND($F$12="New Affordability",$C$16="Revitalization/Redevelopment Plans"),MIN($M$206,P212+P222+P229),0)</f>
        <v>0</v>
      </c>
      <c r="Q206" s="2144" t="s">
        <v>415</v>
      </c>
      <c r="R206" s="2444" t="s">
        <v>4995</v>
      </c>
      <c r="S206" s="2106"/>
      <c r="T206" s="2106"/>
      <c r="U206" s="2106"/>
      <c r="V206" s="2445" t="str">
        <f>$C$16</f>
        <v>Revitalization/Redevelopment Plans</v>
      </c>
      <c r="AM206" s="2494">
        <v>206</v>
      </c>
    </row>
    <row r="207" spans="1:39" s="2109" customFormat="1" ht="15.95" customHeight="1">
      <c r="A207" s="2132"/>
      <c r="B207" s="2133"/>
      <c r="D207" s="2133"/>
      <c r="E207" s="2133"/>
      <c r="F207" s="2141" t="s">
        <v>5036</v>
      </c>
      <c r="L207" s="2177"/>
      <c r="M207" s="2112"/>
      <c r="N207" s="2111"/>
      <c r="O207" s="2122">
        <f>MAX(O213+O214+O215+O216+O220+O221+O222+O224+O228+O229,O206)</f>
        <v>18</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4698</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4893</v>
      </c>
      <c r="D209" s="2164"/>
      <c r="E209" s="2164"/>
      <c r="F209" s="2164"/>
      <c r="G209" s="2164"/>
      <c r="H209" s="2164"/>
      <c r="I209" s="2164"/>
      <c r="J209" s="2164"/>
      <c r="K209" s="2164"/>
      <c r="L209" s="2166"/>
      <c r="N209" s="3843" t="s">
        <v>5189</v>
      </c>
      <c r="O209" s="3844"/>
      <c r="P209" s="3845"/>
      <c r="S209" s="2106"/>
      <c r="T209" s="2106"/>
      <c r="U209" s="2106"/>
      <c r="AM209" s="2495">
        <v>209</v>
      </c>
    </row>
    <row r="210" spans="1:39" s="2109" customFormat="1" ht="15.95" customHeight="1">
      <c r="A210" s="2111"/>
      <c r="B210" s="2147"/>
      <c r="C210" s="2109" t="s">
        <v>4699</v>
      </c>
      <c r="L210" s="2147"/>
      <c r="N210" s="3846">
        <v>165</v>
      </c>
      <c r="O210" s="3847"/>
      <c r="P210" s="3848"/>
      <c r="S210" s="2106"/>
      <c r="T210" s="2106"/>
      <c r="U210" s="2106"/>
      <c r="AM210" s="2495">
        <v>210</v>
      </c>
    </row>
    <row r="211" spans="1:39" s="2109" customFormat="1" ht="15.95" customHeight="1">
      <c r="A211" s="2111"/>
      <c r="B211" s="2147"/>
      <c r="C211" s="2109" t="s">
        <v>4894</v>
      </c>
      <c r="L211" s="2147"/>
      <c r="N211" s="3849">
        <v>180</v>
      </c>
      <c r="O211" s="3850"/>
      <c r="P211" s="3851"/>
      <c r="Q211" s="2012"/>
      <c r="S211" s="2106"/>
      <c r="T211" s="2106"/>
      <c r="U211" s="2106"/>
      <c r="V211" s="2012"/>
      <c r="AM211" s="2495">
        <v>211</v>
      </c>
    </row>
    <row r="212" spans="1:39" s="2109" customFormat="1" ht="15.95" customHeight="1">
      <c r="A212" s="2112" t="s">
        <v>1836</v>
      </c>
      <c r="B212" s="2240" t="s">
        <v>4072</v>
      </c>
      <c r="L212" s="2211" t="s">
        <v>4892</v>
      </c>
      <c r="M212" s="2111">
        <v>6</v>
      </c>
      <c r="N212" s="2147"/>
      <c r="O212" s="2216">
        <f>MIN($M212,O213+O214+O215)</f>
        <v>6</v>
      </c>
      <c r="P212" s="2216">
        <f>MIN($M212,P213+P214+P215)</f>
        <v>0</v>
      </c>
      <c r="Q212" s="2012"/>
      <c r="S212" s="2106"/>
      <c r="T212" s="2106"/>
      <c r="U212" s="2106"/>
      <c r="V212" s="2012"/>
      <c r="AM212" s="2494">
        <v>212</v>
      </c>
    </row>
    <row r="213" spans="1:39" ht="15.95" customHeight="1">
      <c r="A213" s="2291"/>
      <c r="B213" s="2240" t="s">
        <v>4895</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4896</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5" customHeight="1">
      <c r="A215" s="2291"/>
      <c r="B215" s="2240" t="s">
        <v>4973</v>
      </c>
      <c r="D215" s="2164"/>
      <c r="E215" s="2164"/>
      <c r="F215" s="2164"/>
      <c r="G215" s="2164"/>
      <c r="H215" s="2164"/>
      <c r="I215" s="2164"/>
      <c r="K215" s="2111"/>
      <c r="L215" s="2211" t="s">
        <v>4892</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4974</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4897</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4898</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4899</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4901</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5011</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1838</v>
      </c>
      <c r="B222" s="2120" t="s">
        <v>3306</v>
      </c>
      <c r="C222" s="2161"/>
      <c r="D222" s="2161"/>
      <c r="E222" s="2161"/>
      <c r="F222" s="2161"/>
      <c r="G222" s="2161"/>
      <c r="H222" s="2161"/>
      <c r="I222" s="2161"/>
      <c r="J222" s="2161"/>
      <c r="K222" s="2161"/>
      <c r="L222" s="2211" t="s">
        <v>4892</v>
      </c>
      <c r="M222" s="2112">
        <v>3</v>
      </c>
      <c r="N222" s="2173"/>
      <c r="O222" s="2157">
        <f>IF(O223="yes",MIN($M222,O224+O228),0)</f>
        <v>3</v>
      </c>
      <c r="P222" s="2157">
        <f>IF(P223="yes",MIN($M222,P224+P228),0)</f>
        <v>0</v>
      </c>
      <c r="Q222" s="2144"/>
      <c r="R222" s="2150"/>
      <c r="AM222" s="2495">
        <v>222</v>
      </c>
    </row>
    <row r="223" spans="1:39" ht="15.95" customHeight="1">
      <c r="A223" s="2112"/>
      <c r="B223" s="2109" t="s">
        <v>4975</v>
      </c>
      <c r="C223" s="2161"/>
      <c r="D223" s="2161"/>
      <c r="E223" s="2161"/>
      <c r="F223" s="2161"/>
      <c r="G223" s="2161"/>
      <c r="H223" s="2161"/>
      <c r="I223" s="2161"/>
      <c r="J223" s="2161"/>
      <c r="K223" s="2161"/>
      <c r="L223" s="2211"/>
      <c r="M223" s="2112"/>
      <c r="N223" s="2173"/>
      <c r="O223" s="2042" t="s">
        <v>2641</v>
      </c>
      <c r="P223" s="2283"/>
      <c r="Q223" s="2144"/>
      <c r="R223" s="2150"/>
      <c r="AM223" s="2495">
        <v>223</v>
      </c>
    </row>
    <row r="224" spans="1:39" ht="15.95" customHeight="1">
      <c r="A224" s="2132"/>
      <c r="B224" s="2292" t="s">
        <v>1839</v>
      </c>
      <c r="C224" s="2163" t="s">
        <v>4902</v>
      </c>
      <c r="D224" s="2161"/>
      <c r="E224" s="2161"/>
      <c r="F224" s="2161"/>
      <c r="G224" s="2161"/>
      <c r="H224" s="2161"/>
      <c r="L224" s="2211" t="s">
        <v>4892</v>
      </c>
      <c r="M224" s="2111">
        <v>3</v>
      </c>
      <c r="N224" s="2173"/>
      <c r="O224" s="2400">
        <f>MIN($M224,O225+O226+O227)</f>
        <v>3</v>
      </c>
      <c r="P224" s="2400">
        <f>MIN($M224,P225+P226+P227)</f>
        <v>0</v>
      </c>
      <c r="Q224" s="2144"/>
      <c r="R224" s="2150"/>
      <c r="AM224" s="2495">
        <v>224</v>
      </c>
    </row>
    <row r="225" spans="1:39" ht="15.95" customHeight="1">
      <c r="B225" s="2152" t="s">
        <v>1958</v>
      </c>
      <c r="C225" s="2108" t="s">
        <v>4976</v>
      </c>
      <c r="L225" s="2146" t="str">
        <f>IF(OR($O225=$M225,$O225=0,$O225=""),"","* * Check Score! * *")</f>
        <v/>
      </c>
      <c r="M225" s="2129">
        <v>1</v>
      </c>
      <c r="O225" s="2013">
        <v>1</v>
      </c>
      <c r="P225" s="2238"/>
      <c r="AM225" s="2494">
        <v>225</v>
      </c>
    </row>
    <row r="226" spans="1:39" ht="15.95" customHeight="1">
      <c r="B226" s="2152" t="s">
        <v>1959</v>
      </c>
      <c r="C226" s="2108" t="s">
        <v>4903</v>
      </c>
      <c r="L226" s="2146" t="str">
        <f t="shared" ref="L226" si="8">IF(OR($O226=$M226,$O226=0,$O226=""),"","* * Check Score! * *")</f>
        <v/>
      </c>
      <c r="M226" s="2129">
        <v>1</v>
      </c>
      <c r="O226" s="2001">
        <v>1</v>
      </c>
      <c r="P226" s="2241"/>
      <c r="AM226" s="2495">
        <v>226</v>
      </c>
    </row>
    <row r="227" spans="1:39" ht="15.95" customHeight="1">
      <c r="B227" s="2152" t="s">
        <v>1608</v>
      </c>
      <c r="C227" s="2108" t="s">
        <v>4977</v>
      </c>
      <c r="L227" s="2146"/>
      <c r="M227" s="2129">
        <v>1</v>
      </c>
      <c r="O227" s="2002">
        <v>1</v>
      </c>
      <c r="P227" s="2239"/>
      <c r="AM227" s="2494">
        <v>227</v>
      </c>
    </row>
    <row r="228" spans="1:39" ht="15.95" customHeight="1">
      <c r="A228" s="2132"/>
      <c r="B228" s="2151" t="s">
        <v>1841</v>
      </c>
      <c r="C228" s="2109" t="s">
        <v>4904</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4851</v>
      </c>
      <c r="D229" s="2109"/>
      <c r="F229" s="2294"/>
      <c r="K229" s="2295"/>
      <c r="L229" s="2211" t="s">
        <v>4892</v>
      </c>
      <c r="M229" s="2112">
        <v>3</v>
      </c>
      <c r="N229" s="2147"/>
      <c r="O229" s="2296">
        <f>MIN($M229,O230+O231)</f>
        <v>3</v>
      </c>
      <c r="P229" s="2296">
        <f>MIN($M229,P230+P231)</f>
        <v>0</v>
      </c>
      <c r="Q229" s="2149"/>
      <c r="R229" s="2150"/>
      <c r="AM229" s="2494">
        <v>229</v>
      </c>
    </row>
    <row r="230" spans="1:39" ht="15.95" customHeight="1">
      <c r="A230" s="2109"/>
      <c r="B230" s="2292" t="s">
        <v>1839</v>
      </c>
      <c r="C230" s="2163" t="s">
        <v>3696</v>
      </c>
      <c r="D230" s="2161"/>
      <c r="E230" s="2161"/>
      <c r="F230" s="2161"/>
      <c r="G230" s="2161"/>
      <c r="H230" s="2161"/>
      <c r="I230" s="2161"/>
      <c r="J230" s="2161"/>
      <c r="K230" s="2161"/>
      <c r="L230" s="2211" t="s">
        <v>4892</v>
      </c>
      <c r="M230" s="2173">
        <v>2</v>
      </c>
      <c r="N230" s="2173"/>
      <c r="O230" s="2002">
        <v>2</v>
      </c>
      <c r="P230" s="2239"/>
      <c r="AM230" s="2494">
        <v>230</v>
      </c>
    </row>
    <row r="231" spans="1:39" ht="15.95" customHeight="1">
      <c r="A231" s="2109"/>
      <c r="B231" s="2151" t="s">
        <v>1841</v>
      </c>
      <c r="C231" s="2163" t="s">
        <v>4905</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4843</v>
      </c>
      <c r="L232" s="2108"/>
      <c r="M232" s="2111"/>
      <c r="N232" s="2129"/>
      <c r="O232" s="2122"/>
      <c r="P232" s="2121"/>
      <c r="AM232" s="2494">
        <v>232</v>
      </c>
    </row>
    <row r="233" spans="1:39" ht="15.95" customHeight="1">
      <c r="A233" s="3776" t="s">
        <v>5219</v>
      </c>
      <c r="B233" s="3777"/>
      <c r="C233" s="3777"/>
      <c r="D233" s="3777"/>
      <c r="E233" s="3777"/>
      <c r="F233" s="3777"/>
      <c r="G233" s="3777"/>
      <c r="H233" s="3777"/>
      <c r="I233" s="3777"/>
      <c r="J233" s="3777"/>
      <c r="K233" s="3777"/>
      <c r="L233" s="3777"/>
      <c r="M233" s="3777"/>
      <c r="N233" s="3777"/>
      <c r="O233" s="3777"/>
      <c r="P233" s="3778"/>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6"/>
      <c r="B235" s="3757"/>
      <c r="C235" s="3757"/>
      <c r="D235" s="3757"/>
      <c r="E235" s="3757"/>
      <c r="F235" s="3757"/>
      <c r="G235" s="3757"/>
      <c r="H235" s="3757"/>
      <c r="I235" s="3757"/>
      <c r="J235" s="3757"/>
      <c r="K235" s="3757"/>
      <c r="L235" s="3757"/>
      <c r="M235" s="3757"/>
      <c r="N235" s="3757"/>
      <c r="O235" s="3757"/>
      <c r="P235" s="375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Yes</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4995</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5036</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4906</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4911</v>
      </c>
      <c r="D241" s="2409"/>
      <c r="E241" s="2409"/>
      <c r="G241" s="3831" t="s">
        <v>4909</v>
      </c>
      <c r="H241" s="3832"/>
      <c r="I241" s="2411" t="s">
        <v>4913</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4912</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4719</v>
      </c>
      <c r="J244" s="3833"/>
      <c r="K244" s="3834"/>
      <c r="L244" s="3834"/>
      <c r="M244" s="3835"/>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4907</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4940</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4941</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4978</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4979</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4980</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4910</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4981</v>
      </c>
      <c r="C253" s="2108"/>
      <c r="D253" s="2403"/>
      <c r="E253" s="3836" t="s">
        <v>4982</v>
      </c>
      <c r="F253" s="3836"/>
      <c r="G253" s="3836"/>
      <c r="H253" s="2404" t="s">
        <v>4720</v>
      </c>
      <c r="I253" s="3837" t="s">
        <v>4983</v>
      </c>
      <c r="J253" s="3837"/>
      <c r="K253" s="3837"/>
      <c r="L253" s="3837"/>
      <c r="M253" s="3837"/>
      <c r="N253" s="3837"/>
      <c r="O253" s="3837"/>
      <c r="P253" s="3837"/>
      <c r="R253" s="2150"/>
      <c r="S253" s="2106"/>
      <c r="T253" s="2106"/>
      <c r="U253" s="2106"/>
      <c r="V253" s="2108"/>
      <c r="W253" s="2108"/>
      <c r="X253" s="2108"/>
      <c r="AM253" s="2495">
        <v>253</v>
      </c>
    </row>
    <row r="254" spans="1:39" s="2109" customFormat="1" ht="15.95" customHeight="1">
      <c r="A254" s="2132"/>
      <c r="B254" s="2109" t="s">
        <v>4984</v>
      </c>
      <c r="C254" s="2108"/>
      <c r="D254" s="2403"/>
      <c r="E254" s="3838"/>
      <c r="F254" s="3839"/>
      <c r="G254" s="2447"/>
      <c r="H254" s="2405"/>
      <c r="I254" s="3838"/>
      <c r="J254" s="3839"/>
      <c r="K254" s="3840"/>
      <c r="L254" s="3841"/>
      <c r="M254" s="3838" t="s">
        <v>4985</v>
      </c>
      <c r="N254" s="3842"/>
      <c r="O254" s="3842"/>
      <c r="P254" s="3839"/>
      <c r="R254" s="2150"/>
      <c r="S254" s="2106"/>
      <c r="T254" s="2106"/>
      <c r="U254" s="2106"/>
      <c r="V254" s="2108"/>
      <c r="W254" s="2108"/>
      <c r="X254" s="2108"/>
      <c r="AM254" s="2495">
        <v>254</v>
      </c>
    </row>
    <row r="255" spans="1:39" s="2109" customFormat="1" ht="15.95" customHeight="1">
      <c r="A255" s="2132"/>
      <c r="B255" s="2109" t="s">
        <v>4986</v>
      </c>
      <c r="C255" s="2108"/>
      <c r="D255" s="2403"/>
      <c r="E255" s="3821"/>
      <c r="F255" s="3822"/>
      <c r="G255" s="2448"/>
      <c r="H255" s="2406"/>
      <c r="I255" s="3821"/>
      <c r="J255" s="3822"/>
      <c r="K255" s="3823"/>
      <c r="L255" s="3824"/>
      <c r="M255" s="3821" t="s">
        <v>4985</v>
      </c>
      <c r="N255" s="3825"/>
      <c r="O255" s="3825"/>
      <c r="P255" s="3822"/>
      <c r="R255" s="2150"/>
      <c r="S255" s="2106"/>
      <c r="T255" s="2106"/>
      <c r="U255" s="2106"/>
      <c r="V255" s="2108"/>
      <c r="W255" s="2108"/>
      <c r="X255" s="2108"/>
      <c r="AM255" s="2494">
        <v>255</v>
      </c>
    </row>
    <row r="256" spans="1:39" s="2109" customFormat="1" ht="15.95" customHeight="1">
      <c r="A256" s="2132"/>
      <c r="B256" s="2109" t="s">
        <v>4987</v>
      </c>
      <c r="C256" s="2108"/>
      <c r="D256" s="2403"/>
      <c r="E256" s="3821"/>
      <c r="F256" s="3822"/>
      <c r="G256" s="2448"/>
      <c r="H256" s="2406"/>
      <c r="I256" s="3821"/>
      <c r="J256" s="3822"/>
      <c r="K256" s="3823"/>
      <c r="L256" s="3824"/>
      <c r="M256" s="3821" t="s">
        <v>4985</v>
      </c>
      <c r="N256" s="3825"/>
      <c r="O256" s="3825"/>
      <c r="P256" s="3822"/>
      <c r="R256" s="2150"/>
      <c r="S256" s="2106"/>
      <c r="T256" s="2106"/>
      <c r="U256" s="2106"/>
      <c r="V256" s="2108"/>
      <c r="W256" s="2108"/>
      <c r="X256" s="2108"/>
      <c r="AM256" s="2495">
        <v>256</v>
      </c>
    </row>
    <row r="257" spans="1:39" s="2109" customFormat="1" ht="15.95" customHeight="1">
      <c r="A257" s="2132"/>
      <c r="B257" s="2109" t="s">
        <v>4988</v>
      </c>
      <c r="C257" s="2133"/>
      <c r="D257" s="2133"/>
      <c r="E257" s="3821"/>
      <c r="F257" s="3822"/>
      <c r="G257" s="2448"/>
      <c r="H257" s="2451"/>
      <c r="I257" s="3821"/>
      <c r="J257" s="3822"/>
      <c r="K257" s="3823"/>
      <c r="L257" s="3824"/>
      <c r="M257" s="3821" t="s">
        <v>4985</v>
      </c>
      <c r="N257" s="3825"/>
      <c r="O257" s="3825"/>
      <c r="P257" s="3822"/>
      <c r="R257" s="2150"/>
      <c r="S257" s="2106"/>
      <c r="T257" s="2106"/>
      <c r="U257" s="2106"/>
      <c r="V257" s="2108"/>
      <c r="W257" s="2108"/>
      <c r="X257" s="2108"/>
      <c r="AM257" s="2494">
        <v>257</v>
      </c>
    </row>
    <row r="258" spans="1:39" s="2109" customFormat="1" ht="15.95" customHeight="1">
      <c r="A258" s="2132"/>
      <c r="B258" s="2109" t="s">
        <v>4111</v>
      </c>
      <c r="C258" s="2133"/>
      <c r="D258" s="2133"/>
      <c r="E258" s="3826"/>
      <c r="F258" s="3827"/>
      <c r="G258" s="2449"/>
      <c r="H258" s="2452"/>
      <c r="I258" s="3826"/>
      <c r="J258" s="3827"/>
      <c r="K258" s="3828"/>
      <c r="L258" s="3829"/>
      <c r="M258" s="3826" t="s">
        <v>4985</v>
      </c>
      <c r="N258" s="3830"/>
      <c r="O258" s="3830"/>
      <c r="P258" s="3827"/>
      <c r="R258" s="2150"/>
      <c r="S258" s="2106"/>
      <c r="T258" s="2106"/>
      <c r="U258" s="2106"/>
      <c r="V258" s="2108"/>
      <c r="W258" s="2108"/>
      <c r="X258" s="2108"/>
      <c r="AM258" s="2494">
        <v>258</v>
      </c>
    </row>
    <row r="259" spans="1:39" ht="15.95" customHeight="1">
      <c r="A259" s="2109"/>
      <c r="B259" s="2131" t="s">
        <v>4843</v>
      </c>
      <c r="C259" s="2109"/>
      <c r="D259" s="2109"/>
      <c r="E259" s="2109"/>
      <c r="F259" s="2109"/>
      <c r="G259" s="2109"/>
      <c r="H259" s="2109"/>
      <c r="I259" s="2109"/>
      <c r="J259" s="2109"/>
      <c r="K259" s="2109"/>
      <c r="M259" s="2111"/>
      <c r="O259" s="2122"/>
      <c r="AM259" s="2494">
        <v>259</v>
      </c>
    </row>
    <row r="260" spans="1:39" ht="15.95" customHeight="1">
      <c r="A260" s="3776" t="s">
        <v>5154</v>
      </c>
      <c r="B260" s="3777"/>
      <c r="C260" s="3777"/>
      <c r="D260" s="3777"/>
      <c r="E260" s="3777"/>
      <c r="F260" s="3777"/>
      <c r="G260" s="3777"/>
      <c r="H260" s="3777"/>
      <c r="I260" s="3777"/>
      <c r="J260" s="3777"/>
      <c r="K260" s="3777"/>
      <c r="L260" s="3777"/>
      <c r="M260" s="3777"/>
      <c r="N260" s="3777"/>
      <c r="O260" s="3777"/>
      <c r="P260" s="3778"/>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6"/>
      <c r="B262" s="3757"/>
      <c r="C262" s="3757"/>
      <c r="D262" s="3757"/>
      <c r="E262" s="3757"/>
      <c r="F262" s="3757"/>
      <c r="G262" s="3757"/>
      <c r="H262" s="3757"/>
      <c r="I262" s="3757"/>
      <c r="J262" s="3757"/>
      <c r="K262" s="3757"/>
      <c r="L262" s="3757"/>
      <c r="M262" s="3757"/>
      <c r="N262" s="3757"/>
      <c r="O262" s="3757"/>
      <c r="P262" s="3758"/>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4995</v>
      </c>
      <c r="S265" s="2106"/>
      <c r="T265" s="2106"/>
      <c r="U265" s="2106"/>
      <c r="V265" s="2445" t="str">
        <f>$C$16</f>
        <v>Revitalization/Redevelopment Plans</v>
      </c>
      <c r="AM265" s="2494">
        <v>265</v>
      </c>
    </row>
    <row r="266" spans="1:39" ht="15.95" customHeight="1">
      <c r="A266" s="2112" t="s">
        <v>1836</v>
      </c>
      <c r="B266" s="2184" t="s">
        <v>3177</v>
      </c>
      <c r="D266" s="2163"/>
      <c r="E266" s="2163"/>
      <c r="F266" s="2163"/>
      <c r="G266" s="2163"/>
      <c r="H266" s="2163"/>
      <c r="L266" s="2163"/>
      <c r="M266" s="3819"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3178</v>
      </c>
      <c r="D267" s="2163"/>
      <c r="L267" s="2163"/>
      <c r="M267" s="3819"/>
      <c r="N267" s="2147"/>
      <c r="O267" s="2003"/>
      <c r="P267" s="2156"/>
      <c r="Q267" s="2017"/>
      <c r="R267" s="2106"/>
      <c r="S267" s="2106"/>
      <c r="T267" s="2106"/>
      <c r="U267" s="2106"/>
      <c r="V267" s="2106"/>
      <c r="AM267" s="2494">
        <v>267</v>
      </c>
    </row>
    <row r="268" spans="1:39" ht="15.95" customHeight="1">
      <c r="A268" s="2109"/>
      <c r="B268" s="2131" t="s">
        <v>4843</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6" t="s">
        <v>5154</v>
      </c>
      <c r="B269" s="3777"/>
      <c r="C269" s="3777"/>
      <c r="D269" s="3777"/>
      <c r="E269" s="3777"/>
      <c r="F269" s="3777"/>
      <c r="G269" s="3777"/>
      <c r="H269" s="3777"/>
      <c r="I269" s="3777"/>
      <c r="J269" s="3777"/>
      <c r="K269" s="3777"/>
      <c r="L269" s="3777"/>
      <c r="M269" s="3777"/>
      <c r="N269" s="3777"/>
      <c r="O269" s="3777"/>
      <c r="P269" s="3778"/>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6"/>
      <c r="B271" s="3757"/>
      <c r="C271" s="3757"/>
      <c r="D271" s="3757"/>
      <c r="E271" s="3757"/>
      <c r="F271" s="3757"/>
      <c r="G271" s="3757"/>
      <c r="H271" s="3757"/>
      <c r="I271" s="3757"/>
      <c r="J271" s="3757"/>
      <c r="K271" s="3757"/>
      <c r="L271" s="3757"/>
      <c r="M271" s="3757"/>
      <c r="N271" s="3757"/>
      <c r="O271" s="3757"/>
      <c r="P271" s="3758"/>
      <c r="Q271" s="2175"/>
      <c r="AM271" s="2495">
        <v>271</v>
      </c>
    </row>
    <row r="272" spans="1:39" ht="9.75" customHeight="1">
      <c r="AM272" s="2495">
        <v>272</v>
      </c>
    </row>
    <row r="273" spans="1:39" ht="9.75" customHeight="1" thickBot="1">
      <c r="AM273" s="2495">
        <v>273</v>
      </c>
    </row>
    <row r="274" spans="1:39" ht="15.95" customHeight="1" thickBot="1">
      <c r="A274" s="2132" t="s">
        <v>3281</v>
      </c>
      <c r="B274" s="2133" t="s">
        <v>3906</v>
      </c>
      <c r="E274" s="2150" t="str">
        <f>IF(AND(O274&gt;0,NOT($F$12="New Affordability"),NOT($O$12="9%")), "Ineligible, not New Affordability and 9%!","")</f>
        <v/>
      </c>
      <c r="G274" s="2287" t="str">
        <f>$O$12</f>
        <v>9%</v>
      </c>
      <c r="H274" s="2210" t="str">
        <f>$J$12</f>
        <v>Atlanta Metro</v>
      </c>
      <c r="L274" s="2142" t="s">
        <v>4892</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4152</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4700</v>
      </c>
      <c r="H276" s="3783" t="s">
        <v>573</v>
      </c>
      <c r="I276" s="3783"/>
      <c r="J276" s="3783"/>
      <c r="K276" s="3820" t="s">
        <v>4738</v>
      </c>
      <c r="L276" s="3820"/>
      <c r="M276" s="3820"/>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4153</v>
      </c>
      <c r="G277" s="2019"/>
      <c r="H277" s="3811"/>
      <c r="I277" s="3812"/>
      <c r="J277" s="3813"/>
      <c r="K277" s="3814"/>
      <c r="L277" s="3814"/>
      <c r="M277" s="3814"/>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4154</v>
      </c>
      <c r="G278" s="2020"/>
      <c r="H278" s="3815"/>
      <c r="I278" s="3816"/>
      <c r="J278" s="3817"/>
      <c r="K278" s="3818"/>
      <c r="L278" s="3818"/>
      <c r="M278" s="3818"/>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4843</v>
      </c>
      <c r="C280" s="2109"/>
      <c r="D280" s="2109"/>
      <c r="E280" s="2109"/>
      <c r="F280" s="2109"/>
      <c r="G280" s="2109"/>
      <c r="H280" s="2109"/>
      <c r="I280" s="2109"/>
      <c r="J280" s="2109"/>
      <c r="K280" s="2109"/>
      <c r="M280" s="2111"/>
      <c r="O280" s="2122"/>
      <c r="AM280" s="2494">
        <v>280</v>
      </c>
    </row>
    <row r="281" spans="1:39" ht="15.95" customHeight="1">
      <c r="A281" s="3776" t="s">
        <v>5154</v>
      </c>
      <c r="B281" s="3777"/>
      <c r="C281" s="3777"/>
      <c r="D281" s="3777"/>
      <c r="E281" s="3777"/>
      <c r="F281" s="3777"/>
      <c r="G281" s="3777"/>
      <c r="H281" s="3777"/>
      <c r="I281" s="3777"/>
      <c r="J281" s="3777"/>
      <c r="K281" s="3777"/>
      <c r="L281" s="3777"/>
      <c r="M281" s="3777"/>
      <c r="N281" s="3777"/>
      <c r="O281" s="3777"/>
      <c r="P281" s="3778"/>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6"/>
      <c r="B283" s="3757"/>
      <c r="C283" s="3757"/>
      <c r="D283" s="3757"/>
      <c r="E283" s="3757"/>
      <c r="F283" s="3757"/>
      <c r="G283" s="3757"/>
      <c r="H283" s="3757"/>
      <c r="I283" s="3757"/>
      <c r="J283" s="3757"/>
      <c r="K283" s="3757"/>
      <c r="L283" s="3757"/>
      <c r="M283" s="3757"/>
      <c r="N283" s="3757"/>
      <c r="O283" s="3757"/>
      <c r="P283" s="3758"/>
      <c r="Q283" s="2175"/>
      <c r="AM283" s="2495">
        <v>283</v>
      </c>
    </row>
    <row r="284" spans="1:39" ht="9.75" customHeight="1">
      <c r="AM284" s="2495">
        <v>284</v>
      </c>
    </row>
    <row r="285" spans="1:39" ht="9.75" customHeight="1" thickBot="1">
      <c r="AM285" s="2494">
        <v>285</v>
      </c>
    </row>
    <row r="286" spans="1:39" ht="15.95" customHeight="1" thickBot="1">
      <c r="A286" s="2132" t="s">
        <v>3279</v>
      </c>
      <c r="B286" s="2133" t="s">
        <v>3834</v>
      </c>
      <c r="G286" s="2145"/>
      <c r="I286" s="2177" t="str">
        <f>IF($O$274&gt;0,"Points already claimed in another restricted section!","")</f>
        <v/>
      </c>
      <c r="K286" s="2315" t="str">
        <f>IF(AND(SUM(O288,O291,O294)&gt;0,NOT($F$12="New Affordability"),NOT($O$12="9%")), "Not 9% New Affordability!","")</f>
        <v/>
      </c>
      <c r="L286" s="2142" t="s">
        <v>4892</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4914</v>
      </c>
      <c r="AM287" s="2495">
        <v>287</v>
      </c>
    </row>
    <row r="288" spans="1:39" s="2109" customFormat="1" ht="15.95" customHeight="1">
      <c r="A288" s="2112" t="s">
        <v>1836</v>
      </c>
      <c r="B288" s="2120" t="s">
        <v>4915</v>
      </c>
      <c r="L288" s="2211" t="s">
        <v>4892</v>
      </c>
      <c r="M288" s="2111">
        <v>5</v>
      </c>
      <c r="N288" s="2147"/>
      <c r="O288" s="2009"/>
      <c r="P288" s="2279"/>
      <c r="Q288" s="2149" t="str">
        <f>IF(OR($O288&lt;=$M288,$O288=""),"","*CHECK!*")</f>
        <v/>
      </c>
      <c r="R288" s="2150"/>
      <c r="S288" s="2106"/>
      <c r="T288" s="2106"/>
      <c r="U288" s="2106"/>
      <c r="V288" s="2106"/>
      <c r="AM288" s="2494">
        <v>288</v>
      </c>
    </row>
    <row r="289" spans="1:39" ht="15.75" customHeight="1">
      <c r="C289" s="2108" t="s">
        <v>4989</v>
      </c>
      <c r="O289" s="2013"/>
      <c r="P289" s="2238"/>
      <c r="AM289" s="2494">
        <v>289</v>
      </c>
    </row>
    <row r="290" spans="1:39" ht="15.75" customHeight="1">
      <c r="C290" s="2108" t="s">
        <v>4990</v>
      </c>
      <c r="O290" s="2018"/>
      <c r="P290" s="2239"/>
      <c r="AM290" s="2495">
        <v>290</v>
      </c>
    </row>
    <row r="291" spans="1:39" s="2109" customFormat="1" ht="15.95" customHeight="1">
      <c r="A291" s="2112" t="s">
        <v>1838</v>
      </c>
      <c r="B291" s="2120" t="s">
        <v>4916</v>
      </c>
      <c r="L291" s="2211" t="s">
        <v>4892</v>
      </c>
      <c r="M291" s="2111">
        <v>3</v>
      </c>
      <c r="N291" s="2147"/>
      <c r="O291" s="2011">
        <v>3</v>
      </c>
      <c r="P291" s="2229"/>
      <c r="Q291" s="2149" t="str">
        <f>IF(OR($O291&lt;=$M291,$O291=""),"","*CHECK!*")</f>
        <v/>
      </c>
      <c r="R291" s="2150"/>
      <c r="AM291" s="2495">
        <v>291</v>
      </c>
    </row>
    <row r="292" spans="1:39" ht="15.75" customHeight="1">
      <c r="C292" s="2108" t="s">
        <v>4918</v>
      </c>
      <c r="O292" s="2105">
        <v>0</v>
      </c>
      <c r="P292" s="2227"/>
      <c r="AM292" s="2495">
        <v>292</v>
      </c>
    </row>
    <row r="293" spans="1:39" ht="15" customHeight="1">
      <c r="C293" s="2108" t="s">
        <v>4921</v>
      </c>
      <c r="O293" s="2018" t="s">
        <v>2644</v>
      </c>
      <c r="P293" s="2241"/>
      <c r="AM293" s="2495">
        <v>293</v>
      </c>
    </row>
    <row r="294" spans="1:39" ht="15.95" customHeight="1">
      <c r="A294" s="2112" t="s">
        <v>697</v>
      </c>
      <c r="B294" s="2120" t="s">
        <v>4917</v>
      </c>
      <c r="G294" s="2141"/>
      <c r="I294" s="2145"/>
      <c r="L294" s="2211" t="s">
        <v>4892</v>
      </c>
      <c r="M294" s="2111">
        <v>3</v>
      </c>
      <c r="N294" s="2147"/>
      <c r="O294" s="2013"/>
      <c r="P294" s="2238"/>
      <c r="Q294" s="2149" t="str">
        <f>IF(OR($O294&lt;=$M294,$O294=""),"","*CHECK!*")</f>
        <v/>
      </c>
      <c r="R294" s="2150"/>
      <c r="AM294" s="2494">
        <v>294</v>
      </c>
    </row>
    <row r="295" spans="1:39" ht="15.75" customHeight="1">
      <c r="C295" s="2108" t="s">
        <v>4991</v>
      </c>
      <c r="O295" s="2099"/>
      <c r="P295" s="2100"/>
      <c r="AM295" s="2495">
        <v>295</v>
      </c>
    </row>
    <row r="296" spans="1:39" ht="9.75" customHeight="1">
      <c r="AM296" s="2494">
        <v>296</v>
      </c>
    </row>
    <row r="297" spans="1:39" ht="15.95" customHeight="1">
      <c r="A297" s="2109"/>
      <c r="B297" s="2131" t="s">
        <v>4843</v>
      </c>
      <c r="C297" s="2109"/>
      <c r="D297" s="2109"/>
      <c r="E297" s="2109"/>
      <c r="F297" s="2109"/>
      <c r="G297" s="2109"/>
      <c r="H297" s="2109"/>
      <c r="I297" s="2109"/>
      <c r="J297" s="2109"/>
      <c r="K297" s="2109"/>
      <c r="M297" s="2111"/>
      <c r="O297" s="2122"/>
      <c r="AM297" s="2494">
        <v>297</v>
      </c>
    </row>
    <row r="298" spans="1:39" ht="15.95" customHeight="1">
      <c r="A298" s="3776" t="s">
        <v>5220</v>
      </c>
      <c r="B298" s="3777"/>
      <c r="C298" s="3777"/>
      <c r="D298" s="3777"/>
      <c r="E298" s="3777"/>
      <c r="F298" s="3777"/>
      <c r="G298" s="3777"/>
      <c r="H298" s="3777"/>
      <c r="I298" s="3777"/>
      <c r="J298" s="3777"/>
      <c r="K298" s="3777"/>
      <c r="L298" s="3777"/>
      <c r="M298" s="3777"/>
      <c r="N298" s="3777"/>
      <c r="O298" s="3777"/>
      <c r="P298" s="3778"/>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6"/>
      <c r="B300" s="3757"/>
      <c r="C300" s="3757"/>
      <c r="D300" s="3757"/>
      <c r="E300" s="3757"/>
      <c r="F300" s="3757"/>
      <c r="G300" s="3757"/>
      <c r="H300" s="3757"/>
      <c r="I300" s="3757"/>
      <c r="J300" s="3757"/>
      <c r="K300" s="3757"/>
      <c r="L300" s="3757"/>
      <c r="M300" s="3757"/>
      <c r="N300" s="3757"/>
      <c r="O300" s="3757"/>
      <c r="P300" s="3758"/>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4846</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4892</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4995</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4908</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12</v>
      </c>
      <c r="K306" s="2306">
        <f>MAX(P206,P212+P222+P229)</f>
        <v>0</v>
      </c>
      <c r="L306" s="2307"/>
      <c r="M306" s="3808" t="str">
        <f>$J$12</f>
        <v>Atlanta Metro</v>
      </c>
      <c r="N306" s="3809"/>
      <c r="O306" s="3809"/>
      <c r="P306" s="3809"/>
      <c r="Q306" s="2144"/>
      <c r="R306" s="2150"/>
      <c r="S306" s="2106"/>
      <c r="T306" s="2106"/>
      <c r="U306" s="2106"/>
      <c r="V306" s="2108"/>
      <c r="W306" s="2108"/>
      <c r="X306" s="2108"/>
      <c r="AM306" s="2494">
        <v>306</v>
      </c>
    </row>
    <row r="307" spans="1:48" s="2109" customFormat="1" ht="15.95" customHeight="1">
      <c r="A307" s="2132"/>
      <c r="B307" s="2133"/>
      <c r="C307" s="2304"/>
      <c r="D307" s="2109" t="s">
        <v>3908</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4919</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4920</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4843</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6" t="s">
        <v>5154</v>
      </c>
      <c r="B312" s="3777"/>
      <c r="C312" s="3777"/>
      <c r="D312" s="3777"/>
      <c r="E312" s="3777"/>
      <c r="F312" s="3777"/>
      <c r="G312" s="3777"/>
      <c r="H312" s="3777"/>
      <c r="I312" s="3777"/>
      <c r="J312" s="3777"/>
      <c r="K312" s="3777"/>
      <c r="L312" s="3777"/>
      <c r="M312" s="3777"/>
      <c r="N312" s="3777"/>
      <c r="O312" s="3777"/>
      <c r="P312" s="3778"/>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6"/>
      <c r="B314" s="3757"/>
      <c r="C314" s="3757"/>
      <c r="D314" s="3757"/>
      <c r="E314" s="3757"/>
      <c r="F314" s="3757"/>
      <c r="G314" s="3757"/>
      <c r="H314" s="3757"/>
      <c r="I314" s="3757"/>
      <c r="J314" s="3757"/>
      <c r="K314" s="3757"/>
      <c r="L314" s="3757"/>
      <c r="M314" s="3757"/>
      <c r="N314" s="3757"/>
      <c r="O314" s="3757"/>
      <c r="P314" s="375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4847</v>
      </c>
      <c r="D317" s="2133"/>
      <c r="E317" s="2133"/>
      <c r="G317" s="2109" t="str">
        <f>$J$12</f>
        <v>Atlanta Metro</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4929</v>
      </c>
      <c r="D319" s="2133"/>
      <c r="E319" s="2133"/>
      <c r="L319" s="3810" t="s">
        <v>4931</v>
      </c>
      <c r="M319" s="3810"/>
      <c r="O319" s="3810" t="s">
        <v>4932</v>
      </c>
      <c r="P319" s="3810"/>
      <c r="Q319" s="2144"/>
      <c r="R319" s="2106"/>
      <c r="S319" s="2106"/>
      <c r="T319" s="2106"/>
      <c r="U319" s="2106"/>
      <c r="V319" s="2106"/>
      <c r="W319" s="2108"/>
      <c r="X319" s="2108"/>
      <c r="AM319" s="2495">
        <v>319</v>
      </c>
    </row>
    <row r="320" spans="1:48" s="2109" customFormat="1" ht="15.95" customHeight="1">
      <c r="A320" s="2132"/>
      <c r="C320" s="2109" t="s">
        <v>4930</v>
      </c>
      <c r="D320" s="2133"/>
      <c r="E320" s="2133"/>
      <c r="F320" s="2109" t="s">
        <v>4118</v>
      </c>
      <c r="I320" s="2109" t="s">
        <v>574</v>
      </c>
      <c r="K320" s="2111" t="s">
        <v>4740</v>
      </c>
      <c r="L320" s="3810"/>
      <c r="M320" s="3810"/>
      <c r="O320" s="3810"/>
      <c r="P320" s="3810"/>
      <c r="Q320" s="2144"/>
      <c r="R320" s="2106"/>
      <c r="S320" s="2106"/>
      <c r="T320" s="2106"/>
      <c r="U320" s="2106"/>
      <c r="V320" s="2106"/>
      <c r="W320" s="2108"/>
      <c r="X320" s="2108"/>
      <c r="AM320" s="2494">
        <v>320</v>
      </c>
      <c r="AV320" s="2304"/>
    </row>
    <row r="321" spans="1:39" s="2109" customFormat="1" ht="15.95" customHeight="1">
      <c r="A321" s="2132"/>
      <c r="B321" s="2292" t="s">
        <v>1839</v>
      </c>
      <c r="C321" s="3804"/>
      <c r="D321" s="3804"/>
      <c r="E321" s="3804"/>
      <c r="F321" s="3804"/>
      <c r="G321" s="3804"/>
      <c r="H321" s="3804"/>
      <c r="I321" s="3805"/>
      <c r="J321" s="3805"/>
      <c r="K321" s="2385"/>
      <c r="L321" s="3806"/>
      <c r="M321" s="3806"/>
      <c r="N321" s="2289"/>
      <c r="O321" s="3807"/>
      <c r="P321" s="3807"/>
      <c r="Q321" s="2144"/>
      <c r="R321" s="2106"/>
      <c r="S321" s="2106"/>
      <c r="T321" s="2106"/>
      <c r="U321" s="2106"/>
      <c r="V321" s="2106"/>
      <c r="W321" s="2108"/>
      <c r="X321" s="2108"/>
      <c r="AM321" s="2495">
        <v>321</v>
      </c>
    </row>
    <row r="322" spans="1:39" s="2109" customFormat="1" ht="15.95" customHeight="1">
      <c r="A322" s="2132"/>
      <c r="B322" s="2151" t="s">
        <v>1841</v>
      </c>
      <c r="C322" s="3796"/>
      <c r="D322" s="3796"/>
      <c r="E322" s="3796"/>
      <c r="F322" s="3796"/>
      <c r="G322" s="3796"/>
      <c r="H322" s="3796"/>
      <c r="I322" s="3797"/>
      <c r="J322" s="3797"/>
      <c r="K322" s="2386"/>
      <c r="L322" s="3798"/>
      <c r="M322" s="3798"/>
      <c r="N322" s="2289"/>
      <c r="O322" s="3799"/>
      <c r="P322" s="3799"/>
      <c r="Q322" s="2144"/>
      <c r="R322" s="2106"/>
      <c r="S322" s="2106"/>
      <c r="T322" s="2106"/>
      <c r="U322" s="2106"/>
      <c r="V322" s="2106"/>
      <c r="W322" s="2108"/>
      <c r="X322" s="2108"/>
      <c r="AM322" s="2494">
        <v>322</v>
      </c>
    </row>
    <row r="323" spans="1:39" s="2109" customFormat="1" ht="15.95" customHeight="1">
      <c r="A323" s="2132"/>
      <c r="B323" s="2151" t="s">
        <v>2326</v>
      </c>
      <c r="C323" s="3796"/>
      <c r="D323" s="3796"/>
      <c r="E323" s="3796"/>
      <c r="F323" s="3796"/>
      <c r="G323" s="3796"/>
      <c r="H323" s="3796"/>
      <c r="I323" s="3797"/>
      <c r="J323" s="3797"/>
      <c r="K323" s="2386"/>
      <c r="L323" s="3798"/>
      <c r="M323" s="3798"/>
      <c r="N323" s="2289"/>
      <c r="O323" s="3799"/>
      <c r="P323" s="3799"/>
      <c r="Q323" s="2144"/>
      <c r="R323" s="2106"/>
      <c r="S323" s="2106"/>
      <c r="T323" s="2106"/>
      <c r="U323" s="2106"/>
      <c r="V323" s="2106"/>
      <c r="W323" s="2108"/>
      <c r="X323" s="2108"/>
      <c r="AM323" s="2494">
        <v>323</v>
      </c>
    </row>
    <row r="324" spans="1:39" s="2109" customFormat="1" ht="15.95" customHeight="1">
      <c r="A324" s="2132"/>
      <c r="B324" s="2151" t="s">
        <v>1149</v>
      </c>
      <c r="C324" s="3800"/>
      <c r="D324" s="3800"/>
      <c r="E324" s="3800"/>
      <c r="F324" s="3800"/>
      <c r="G324" s="3800"/>
      <c r="H324" s="3800"/>
      <c r="I324" s="3801"/>
      <c r="J324" s="3801"/>
      <c r="K324" s="2387"/>
      <c r="L324" s="3802"/>
      <c r="M324" s="3802"/>
      <c r="N324" s="2289"/>
      <c r="O324" s="3803"/>
      <c r="P324" s="3803"/>
      <c r="Q324" s="2144"/>
      <c r="R324" s="2106"/>
      <c r="S324" s="2106"/>
      <c r="T324" s="2106"/>
      <c r="U324" s="2106"/>
      <c r="V324" s="2106"/>
      <c r="W324" s="2108"/>
      <c r="X324" s="2108"/>
      <c r="AM324" s="2494">
        <v>324</v>
      </c>
    </row>
    <row r="325" spans="1:39" ht="15.95" customHeight="1">
      <c r="A325" s="2109"/>
      <c r="B325" s="2131" t="s">
        <v>4843</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76" t="s">
        <v>5154</v>
      </c>
      <c r="B326" s="3777"/>
      <c r="C326" s="3777"/>
      <c r="D326" s="3777"/>
      <c r="E326" s="3777"/>
      <c r="F326" s="3777"/>
      <c r="G326" s="3777"/>
      <c r="H326" s="3777"/>
      <c r="I326" s="3777"/>
      <c r="J326" s="3777"/>
      <c r="K326" s="3777"/>
      <c r="L326" s="3777"/>
      <c r="M326" s="3777"/>
      <c r="N326" s="3777"/>
      <c r="O326" s="3777"/>
      <c r="P326" s="3778"/>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6"/>
      <c r="B328" s="3757"/>
      <c r="C328" s="3757"/>
      <c r="D328" s="3757"/>
      <c r="E328" s="3757"/>
      <c r="F328" s="3757"/>
      <c r="G328" s="3757"/>
      <c r="H328" s="3757"/>
      <c r="I328" s="3757"/>
      <c r="J328" s="3757"/>
      <c r="K328" s="3757"/>
      <c r="L328" s="3757"/>
      <c r="M328" s="3757"/>
      <c r="N328" s="3757"/>
      <c r="O328" s="3757"/>
      <c r="P328" s="375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3904</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4922</v>
      </c>
      <c r="G332" s="2214" t="s">
        <v>3067</v>
      </c>
      <c r="H332" s="2321">
        <f>IF('Part V-Revenues &amp; Expenses'!$P$67=0,0,'Part V-Revenues &amp; Expenses'!$P$64/'Part V-Revenues &amp; Expenses'!$P$67)</f>
        <v>0.19444444444444445</v>
      </c>
      <c r="L332" s="2146" t="str">
        <f t="shared" ref="L332:L333" si="11">IF(OR($O332=$M332,$O332=0,$O332=""),"","* * Check Score! * *")</f>
        <v/>
      </c>
      <c r="M332" s="2111">
        <v>1</v>
      </c>
      <c r="N332" s="2147"/>
      <c r="O332" s="2013">
        <v>1</v>
      </c>
      <c r="P332" s="2238"/>
      <c r="Q332" s="2149" t="str">
        <f>IF(OR($O332=$M332,$O332=0,$O332=""),"","*CHECK!*")</f>
        <v/>
      </c>
      <c r="R332" s="2150"/>
      <c r="AM332" s="2494">
        <v>332</v>
      </c>
    </row>
    <row r="333" spans="1:39" ht="15.95" customHeight="1">
      <c r="A333" s="2112" t="s">
        <v>1838</v>
      </c>
      <c r="B333" s="2193" t="s">
        <v>3687</v>
      </c>
      <c r="G333" s="3794" t="str">
        <f>'Part V-Revenues &amp; Expenses'!$O$53</f>
        <v>40% of Units at 60% of AMI</v>
      </c>
      <c r="H333" s="3795"/>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6"/>
      <c r="B336" s="3757"/>
      <c r="C336" s="3757"/>
      <c r="D336" s="3757"/>
      <c r="E336" s="3757"/>
      <c r="F336" s="3757"/>
      <c r="G336" s="3757"/>
      <c r="H336" s="3757"/>
      <c r="I336" s="3757"/>
      <c r="J336" s="3757"/>
      <c r="K336" s="3757"/>
      <c r="L336" s="3757"/>
      <c r="M336" s="3757"/>
      <c r="N336" s="3757"/>
      <c r="O336" s="3757"/>
      <c r="P336" s="375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791" t="s">
        <v>3760</v>
      </c>
      <c r="H340" s="3792"/>
      <c r="I340" s="3792"/>
      <c r="J340" s="3792"/>
      <c r="K340" s="3792"/>
      <c r="L340" s="3793"/>
      <c r="M340" s="2165"/>
      <c r="N340" s="2165"/>
      <c r="O340" s="2165"/>
      <c r="P340" s="2165"/>
      <c r="Q340" s="2109"/>
      <c r="AM340" s="2494">
        <v>340</v>
      </c>
    </row>
    <row r="341" spans="1:39" s="2164" customFormat="1" ht="15.95" customHeight="1">
      <c r="A341" s="2196" t="s">
        <v>1836</v>
      </c>
      <c r="B341" s="2120" t="s">
        <v>3828</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2" t="s">
        <v>3325</v>
      </c>
      <c r="C342" s="3763"/>
      <c r="D342" s="3763"/>
      <c r="E342" s="3763"/>
      <c r="F342" s="3763"/>
      <c r="G342" s="3763"/>
      <c r="H342" s="3763"/>
      <c r="I342" s="3763"/>
      <c r="J342" s="3763"/>
      <c r="K342" s="3763"/>
      <c r="L342" s="3763"/>
      <c r="M342" s="3763"/>
      <c r="N342" s="3763"/>
      <c r="O342" s="3763"/>
      <c r="P342" s="3764"/>
      <c r="Q342" s="2175"/>
      <c r="R342" s="2192"/>
      <c r="S342" s="2192"/>
      <c r="AM342" s="2494">
        <v>342</v>
      </c>
    </row>
    <row r="343" spans="1:39" s="2164" customFormat="1" ht="15.95" customHeight="1">
      <c r="A343" s="2317" t="s">
        <v>1838</v>
      </c>
      <c r="B343" s="2274" t="s">
        <v>3829</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4843</v>
      </c>
      <c r="C344" s="2109"/>
      <c r="D344" s="2109"/>
      <c r="E344" s="2109"/>
      <c r="F344" s="2109"/>
      <c r="G344" s="2109"/>
      <c r="H344" s="2109"/>
      <c r="I344" s="2109"/>
      <c r="J344" s="2109"/>
      <c r="K344" s="2109"/>
      <c r="M344" s="2111"/>
      <c r="O344" s="2122"/>
      <c r="AM344" s="2494">
        <v>344</v>
      </c>
    </row>
    <row r="345" spans="1:39" ht="15.95" customHeight="1">
      <c r="A345" s="3776" t="s">
        <v>5154</v>
      </c>
      <c r="B345" s="3777"/>
      <c r="C345" s="3777"/>
      <c r="D345" s="3777"/>
      <c r="E345" s="3777"/>
      <c r="F345" s="3777"/>
      <c r="G345" s="3777"/>
      <c r="H345" s="3777"/>
      <c r="I345" s="3777"/>
      <c r="J345" s="3777"/>
      <c r="K345" s="3777"/>
      <c r="L345" s="3777"/>
      <c r="M345" s="3777"/>
      <c r="N345" s="3777"/>
      <c r="O345" s="3777"/>
      <c r="P345" s="3778"/>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6"/>
      <c r="B347" s="3757"/>
      <c r="C347" s="3757"/>
      <c r="D347" s="3757"/>
      <c r="E347" s="3757"/>
      <c r="F347" s="3757"/>
      <c r="G347" s="3757"/>
      <c r="H347" s="3757"/>
      <c r="I347" s="3757"/>
      <c r="J347" s="3757"/>
      <c r="K347" s="3757"/>
      <c r="L347" s="3757"/>
      <c r="M347" s="3757"/>
      <c r="N347" s="3757"/>
      <c r="O347" s="3757"/>
      <c r="P347" s="375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4477</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4478</v>
      </c>
      <c r="D351" s="2163"/>
      <c r="E351" s="2213" t="s">
        <v>4489</v>
      </c>
      <c r="F351" s="2163"/>
      <c r="G351" s="2163"/>
      <c r="H351" s="3788"/>
      <c r="I351" s="3789"/>
      <c r="J351" s="3789"/>
      <c r="K351" s="379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4479</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4843</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776" t="s">
        <v>5221</v>
      </c>
      <c r="B354" s="3777"/>
      <c r="C354" s="3777"/>
      <c r="D354" s="3777"/>
      <c r="E354" s="3777"/>
      <c r="F354" s="3777"/>
      <c r="G354" s="3777"/>
      <c r="H354" s="3777"/>
      <c r="I354" s="3777"/>
      <c r="J354" s="3777"/>
      <c r="K354" s="3777"/>
      <c r="L354" s="3777"/>
      <c r="M354" s="3777"/>
      <c r="N354" s="3777"/>
      <c r="O354" s="3777"/>
      <c r="P354" s="3778"/>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6"/>
      <c r="B356" s="3757"/>
      <c r="C356" s="3757"/>
      <c r="D356" s="3757"/>
      <c r="E356" s="3757"/>
      <c r="F356" s="3757"/>
      <c r="G356" s="3757"/>
      <c r="H356" s="3757"/>
      <c r="I356" s="3757"/>
      <c r="J356" s="3757"/>
      <c r="K356" s="3757"/>
      <c r="L356" s="3757"/>
      <c r="M356" s="3757"/>
      <c r="N356" s="3757"/>
      <c r="O356" s="3757"/>
      <c r="P356" s="375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5" customHeight="1">
      <c r="A360" s="2128"/>
      <c r="B360" s="2240" t="s">
        <v>3068</v>
      </c>
      <c r="D360" s="2193"/>
      <c r="E360" s="2193"/>
      <c r="G360" s="2109"/>
      <c r="I360" s="3791" t="s">
        <v>5190</v>
      </c>
      <c r="J360" s="3792"/>
      <c r="K360" s="3792"/>
      <c r="L360" s="3793"/>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4843</v>
      </c>
      <c r="L362" s="2108"/>
      <c r="M362" s="2111"/>
      <c r="N362" s="2129"/>
      <c r="O362" s="2122"/>
      <c r="P362" s="2121"/>
      <c r="AM362" s="2494">
        <v>362</v>
      </c>
    </row>
    <row r="363" spans="1:39" ht="15.95" customHeight="1">
      <c r="A363" s="3776" t="s">
        <v>5191</v>
      </c>
      <c r="B363" s="3777"/>
      <c r="C363" s="3777"/>
      <c r="D363" s="3777"/>
      <c r="E363" s="3777"/>
      <c r="F363" s="3777"/>
      <c r="G363" s="3777"/>
      <c r="H363" s="3777"/>
      <c r="I363" s="3777"/>
      <c r="J363" s="3777"/>
      <c r="K363" s="3777"/>
      <c r="L363" s="3777"/>
      <c r="M363" s="3777"/>
      <c r="N363" s="3777"/>
      <c r="O363" s="3777"/>
      <c r="P363" s="3778"/>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6"/>
      <c r="B365" s="3757"/>
      <c r="C365" s="3757"/>
      <c r="D365" s="3757"/>
      <c r="E365" s="3757"/>
      <c r="F365" s="3757"/>
      <c r="G365" s="3757"/>
      <c r="H365" s="3757"/>
      <c r="I365" s="3757"/>
      <c r="J365" s="3757"/>
      <c r="K365" s="3757"/>
      <c r="L365" s="3757"/>
      <c r="M365" s="3757"/>
      <c r="N365" s="3757"/>
      <c r="O365" s="3757"/>
      <c r="P365" s="375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4848</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4031</v>
      </c>
      <c r="D370" s="2133"/>
      <c r="E370" s="2133"/>
      <c r="L370" s="2211" t="s">
        <v>4892</v>
      </c>
      <c r="M370" s="2112">
        <v>6</v>
      </c>
      <c r="N370" s="2111"/>
      <c r="O370" s="2011"/>
      <c r="P370" s="2229"/>
      <c r="Q370" s="2144"/>
      <c r="R370" s="2150"/>
      <c r="AM370" s="2494">
        <v>370</v>
      </c>
    </row>
    <row r="371" spans="1:39" s="2109" customFormat="1" ht="15.95" customHeight="1">
      <c r="A371" s="2259" t="s">
        <v>1838</v>
      </c>
      <c r="B371" s="2120" t="s">
        <v>4734</v>
      </c>
      <c r="D371" s="2133"/>
      <c r="E371" s="2133"/>
      <c r="F371" s="2234" t="s">
        <v>4942</v>
      </c>
      <c r="K371" s="2149" t="str">
        <f>IF(OR($O371=$M371,$O371=0,$O371=""),"","*CHECK!*")</f>
        <v/>
      </c>
      <c r="L371" s="2211" t="s">
        <v>4892</v>
      </c>
      <c r="M371" s="2112">
        <v>6</v>
      </c>
      <c r="N371" s="2111"/>
      <c r="O371" s="2111"/>
      <c r="P371" s="2238"/>
      <c r="Q371" s="2144"/>
      <c r="R371" s="2150"/>
      <c r="AM371" s="2494">
        <v>371</v>
      </c>
    </row>
    <row r="372" spans="1:39" s="2109" customFormat="1" ht="15.95" customHeight="1">
      <c r="A372" s="2223"/>
      <c r="B372" s="2109" t="s">
        <v>4706</v>
      </c>
      <c r="D372" s="2133"/>
      <c r="E372" s="2133"/>
      <c r="F372" s="2125"/>
      <c r="L372" s="2149"/>
      <c r="M372" s="2112"/>
      <c r="N372" s="2111"/>
      <c r="O372" s="2015"/>
      <c r="P372" s="2156"/>
      <c r="Q372" s="2144"/>
      <c r="R372" s="2150"/>
      <c r="AM372" s="2495">
        <v>372</v>
      </c>
    </row>
    <row r="373" spans="1:39" s="2164" customFormat="1" ht="15.95" customHeight="1">
      <c r="A373" s="2112" t="s">
        <v>697</v>
      </c>
      <c r="B373" s="2274" t="s">
        <v>4033</v>
      </c>
      <c r="C373" s="2266"/>
      <c r="D373" s="2266"/>
      <c r="E373" s="2266"/>
      <c r="F373" s="2266"/>
      <c r="H373" s="2266"/>
      <c r="I373" s="2266"/>
      <c r="J373" s="2127"/>
      <c r="K373" s="2127"/>
      <c r="L373" s="2211" t="s">
        <v>4892</v>
      </c>
      <c r="M373" s="2111">
        <v>4</v>
      </c>
      <c r="N373" s="2231"/>
      <c r="O373" s="2011"/>
      <c r="P373" s="2229"/>
      <c r="Q373" s="2149"/>
      <c r="R373" s="2150"/>
      <c r="AM373" s="2495">
        <v>373</v>
      </c>
    </row>
    <row r="374" spans="1:39" ht="15.95" customHeight="1">
      <c r="A374" s="2112" t="s">
        <v>1957</v>
      </c>
      <c r="B374" s="2120" t="s">
        <v>4032</v>
      </c>
      <c r="E374" s="2193"/>
      <c r="F374" s="2109"/>
      <c r="G374" s="2109"/>
      <c r="H374" s="2109"/>
      <c r="K374" s="2111"/>
      <c r="L374" s="2211" t="s">
        <v>4892</v>
      </c>
      <c r="M374" s="2111">
        <v>4</v>
      </c>
      <c r="N374" s="2231"/>
      <c r="O374" s="2011"/>
      <c r="P374" s="2229"/>
      <c r="Q374" s="2149"/>
      <c r="R374" s="2150"/>
      <c r="AM374" s="2495">
        <v>374</v>
      </c>
    </row>
    <row r="375" spans="1:39" s="2109" customFormat="1" ht="15.95" customHeight="1">
      <c r="A375" s="2112" t="s">
        <v>1609</v>
      </c>
      <c r="B375" s="2120" t="s">
        <v>4849</v>
      </c>
      <c r="D375" s="2133"/>
      <c r="F375" s="2234" t="s">
        <v>4936</v>
      </c>
      <c r="K375" s="2258" t="str">
        <f>IF(AND($O375&gt;0,NOT($F$12="Preservation")),"Ineligible, not Preservation!","")</f>
        <v/>
      </c>
      <c r="L375" s="2211" t="s">
        <v>4892</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4992</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3907</v>
      </c>
      <c r="E378" s="2133"/>
      <c r="J378" s="2305">
        <f>MAX(O169,O178+O179+O181+O182+O183)</f>
        <v>3</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1.5</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4993</v>
      </c>
      <c r="F380" s="2234"/>
      <c r="I380" s="2248" t="s">
        <v>4994</v>
      </c>
      <c r="J380" s="2442">
        <f>MAX(J381:J383)</f>
        <v>12</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12</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3908</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4850</v>
      </c>
      <c r="D384" s="2133"/>
      <c r="G384" s="2145"/>
      <c r="K384" s="2149" t="str">
        <f>IF(OR($O384&lt;=$M384,$O384=0,$O384=""),"","*CHECK!*")</f>
        <v/>
      </c>
      <c r="L384" s="2147" t="s">
        <v>4892</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4923</v>
      </c>
      <c r="H385" s="2324" t="s">
        <v>4935</v>
      </c>
      <c r="I385" s="2112"/>
      <c r="J385" s="2101"/>
      <c r="K385" s="2141"/>
      <c r="L385" s="2211" t="s">
        <v>4892</v>
      </c>
      <c r="M385" s="2214">
        <v>3</v>
      </c>
      <c r="N385" s="2147"/>
      <c r="O385" s="2013"/>
      <c r="P385" s="2238"/>
      <c r="Q385" s="2150"/>
      <c r="V385" s="2140"/>
      <c r="AM385" s="2495">
        <v>385</v>
      </c>
    </row>
    <row r="386" spans="1:39" s="2109" customFormat="1" ht="15" customHeight="1">
      <c r="A386" s="2112"/>
      <c r="B386" s="2154"/>
      <c r="C386" s="2164" t="s">
        <v>4924</v>
      </c>
      <c r="D386" s="2164"/>
      <c r="E386" s="2164"/>
      <c r="H386" s="2234" t="s">
        <v>4934</v>
      </c>
      <c r="I386" s="2164"/>
      <c r="J386" s="2102"/>
      <c r="K386" s="2164"/>
      <c r="L386" s="2211" t="s">
        <v>4892</v>
      </c>
      <c r="M386" s="2214">
        <v>3</v>
      </c>
      <c r="N386" s="2147"/>
      <c r="O386" s="2001"/>
      <c r="P386" s="2241"/>
      <c r="Q386" s="2147"/>
      <c r="V386" s="2140"/>
      <c r="AM386" s="2495">
        <v>386</v>
      </c>
    </row>
    <row r="387" spans="1:39" ht="15.95" customHeight="1">
      <c r="B387" s="2151"/>
      <c r="C387" s="2109" t="s">
        <v>4735</v>
      </c>
      <c r="F387" s="2234" t="s">
        <v>4925</v>
      </c>
      <c r="K387" s="2325" t="str">
        <f>IF(OR($O387="",$O$12="4%"),"","Ineligible!")</f>
        <v/>
      </c>
      <c r="L387" s="2211" t="s">
        <v>4892</v>
      </c>
      <c r="M387" s="2111">
        <v>10</v>
      </c>
      <c r="N387" s="2231"/>
      <c r="O387" s="2050"/>
      <c r="P387" s="2326"/>
      <c r="Q387" s="2149" t="str">
        <f>IF(OR($O387&lt;=$M387,$O387=0,$O387=""),"","*CHECK!*")</f>
        <v/>
      </c>
      <c r="R387" s="2150"/>
      <c r="AM387" s="2494">
        <v>387</v>
      </c>
    </row>
    <row r="388" spans="1:39" ht="15.95" customHeight="1">
      <c r="A388" s="2112"/>
      <c r="B388" s="2108" t="s">
        <v>1132</v>
      </c>
      <c r="D388" s="2108" t="s">
        <v>4739</v>
      </c>
      <c r="E388" s="2109"/>
      <c r="F388" s="2109"/>
      <c r="G388" s="2109" t="s">
        <v>4118</v>
      </c>
      <c r="H388" s="2109"/>
      <c r="I388" s="2109"/>
      <c r="J388" s="2109" t="s">
        <v>574</v>
      </c>
      <c r="L388" s="2129" t="s">
        <v>4740</v>
      </c>
      <c r="M388" s="3783" t="s">
        <v>4744</v>
      </c>
      <c r="N388" s="3783"/>
      <c r="O388" s="3783"/>
      <c r="P388" s="3783"/>
      <c r="Q388" s="2149"/>
      <c r="AM388" s="2494">
        <v>388</v>
      </c>
    </row>
    <row r="389" spans="1:39" ht="15.95" customHeight="1">
      <c r="A389" s="2152" t="s">
        <v>1958</v>
      </c>
      <c r="B389" s="3784"/>
      <c r="C389" s="3784"/>
      <c r="D389" s="3784"/>
      <c r="E389" s="3784"/>
      <c r="F389" s="3784"/>
      <c r="G389" s="3784"/>
      <c r="H389" s="3784"/>
      <c r="I389" s="3784"/>
      <c r="J389" s="3784"/>
      <c r="K389" s="3784"/>
      <c r="L389" s="2047"/>
      <c r="M389" s="3785"/>
      <c r="N389" s="3786"/>
      <c r="O389" s="3786"/>
      <c r="P389" s="3787"/>
      <c r="Q389" s="2149"/>
      <c r="AM389" s="2495">
        <v>389</v>
      </c>
    </row>
    <row r="390" spans="1:39" ht="15.95" customHeight="1">
      <c r="A390" s="2152" t="s">
        <v>1959</v>
      </c>
      <c r="B390" s="3779"/>
      <c r="C390" s="3779"/>
      <c r="D390" s="3779"/>
      <c r="E390" s="3779"/>
      <c r="F390" s="3779"/>
      <c r="G390" s="3779"/>
      <c r="H390" s="3779"/>
      <c r="I390" s="3779"/>
      <c r="J390" s="3779"/>
      <c r="K390" s="3779"/>
      <c r="L390" s="2048"/>
      <c r="M390" s="3780"/>
      <c r="N390" s="3781"/>
      <c r="O390" s="3781"/>
      <c r="P390" s="3782"/>
      <c r="Q390" s="2149"/>
      <c r="AM390" s="2494">
        <v>390</v>
      </c>
    </row>
    <row r="391" spans="1:39" ht="15.95" customHeight="1">
      <c r="A391" s="2152" t="s">
        <v>1608</v>
      </c>
      <c r="B391" s="3779"/>
      <c r="C391" s="3779"/>
      <c r="D391" s="3779"/>
      <c r="E391" s="3779"/>
      <c r="F391" s="3779"/>
      <c r="G391" s="3779"/>
      <c r="H391" s="3779"/>
      <c r="I391" s="3779"/>
      <c r="J391" s="3779"/>
      <c r="K391" s="3779"/>
      <c r="L391" s="2048"/>
      <c r="M391" s="3780"/>
      <c r="N391" s="3781"/>
      <c r="O391" s="3781"/>
      <c r="P391" s="3782"/>
      <c r="Q391" s="2149"/>
      <c r="AM391" s="2494">
        <v>391</v>
      </c>
    </row>
    <row r="392" spans="1:39" ht="15.95" customHeight="1">
      <c r="A392" s="2152" t="s">
        <v>3739</v>
      </c>
      <c r="B392" s="3779"/>
      <c r="C392" s="3779"/>
      <c r="D392" s="3779"/>
      <c r="E392" s="3779"/>
      <c r="F392" s="3779"/>
      <c r="G392" s="3779"/>
      <c r="H392" s="3779"/>
      <c r="I392" s="3779"/>
      <c r="J392" s="3779"/>
      <c r="K392" s="3779"/>
      <c r="L392" s="2048"/>
      <c r="M392" s="3780"/>
      <c r="N392" s="3781"/>
      <c r="O392" s="3781"/>
      <c r="P392" s="3782"/>
      <c r="Q392" s="2149"/>
      <c r="AM392" s="2495">
        <v>392</v>
      </c>
    </row>
    <row r="393" spans="1:39" ht="15.95" customHeight="1">
      <c r="A393" s="2152" t="s">
        <v>4687</v>
      </c>
      <c r="B393" s="3779"/>
      <c r="C393" s="3779"/>
      <c r="D393" s="3779"/>
      <c r="E393" s="3779"/>
      <c r="F393" s="3779"/>
      <c r="G393" s="3779"/>
      <c r="H393" s="3779"/>
      <c r="I393" s="3779"/>
      <c r="J393" s="3779"/>
      <c r="K393" s="3779"/>
      <c r="L393" s="2048"/>
      <c r="M393" s="3780"/>
      <c r="N393" s="3781"/>
      <c r="O393" s="3781"/>
      <c r="P393" s="3782"/>
      <c r="Q393" s="2149"/>
      <c r="AM393" s="2495">
        <v>393</v>
      </c>
    </row>
    <row r="394" spans="1:39" ht="15.95" customHeight="1">
      <c r="A394" s="2152" t="s">
        <v>4688</v>
      </c>
      <c r="B394" s="3779"/>
      <c r="C394" s="3779"/>
      <c r="D394" s="3779"/>
      <c r="E394" s="3779"/>
      <c r="F394" s="3779"/>
      <c r="G394" s="3779"/>
      <c r="H394" s="3779"/>
      <c r="I394" s="3779"/>
      <c r="J394" s="3779"/>
      <c r="K394" s="3779"/>
      <c r="L394" s="2048"/>
      <c r="M394" s="3780"/>
      <c r="N394" s="3781"/>
      <c r="O394" s="3781"/>
      <c r="P394" s="3782"/>
      <c r="Q394" s="2149"/>
      <c r="AM394" s="2495">
        <v>394</v>
      </c>
    </row>
    <row r="395" spans="1:39" ht="15.95" customHeight="1">
      <c r="A395" s="2152" t="s">
        <v>4926</v>
      </c>
      <c r="B395" s="3779"/>
      <c r="C395" s="3779"/>
      <c r="D395" s="3779"/>
      <c r="E395" s="3779"/>
      <c r="F395" s="3779"/>
      <c r="G395" s="3779"/>
      <c r="H395" s="3779"/>
      <c r="I395" s="3779"/>
      <c r="J395" s="3779"/>
      <c r="K395" s="3779"/>
      <c r="L395" s="2048"/>
      <c r="M395" s="3780"/>
      <c r="N395" s="3781"/>
      <c r="O395" s="3781"/>
      <c r="P395" s="3782"/>
      <c r="Q395" s="2149"/>
      <c r="AM395" s="2495">
        <v>395</v>
      </c>
    </row>
    <row r="396" spans="1:39" ht="15.95" customHeight="1">
      <c r="A396" s="2152" t="s">
        <v>4927</v>
      </c>
      <c r="B396" s="3779"/>
      <c r="C396" s="3779"/>
      <c r="D396" s="3779"/>
      <c r="E396" s="3779"/>
      <c r="F396" s="3779"/>
      <c r="G396" s="3779"/>
      <c r="H396" s="3779"/>
      <c r="I396" s="3779"/>
      <c r="J396" s="3779"/>
      <c r="K396" s="3779"/>
      <c r="L396" s="2048"/>
      <c r="M396" s="3780"/>
      <c r="N396" s="3781"/>
      <c r="O396" s="3781"/>
      <c r="P396" s="3782"/>
      <c r="Q396" s="2149"/>
      <c r="AM396" s="2494">
        <v>396</v>
      </c>
    </row>
    <row r="397" spans="1:39" ht="14.25">
      <c r="A397" s="2152" t="s">
        <v>4900</v>
      </c>
      <c r="B397" s="3779"/>
      <c r="C397" s="3779"/>
      <c r="D397" s="3779"/>
      <c r="E397" s="3779"/>
      <c r="F397" s="3779"/>
      <c r="G397" s="3779"/>
      <c r="H397" s="3779"/>
      <c r="I397" s="3779"/>
      <c r="J397" s="3779"/>
      <c r="K397" s="3779"/>
      <c r="L397" s="2048"/>
      <c r="M397" s="3780"/>
      <c r="N397" s="3781"/>
      <c r="O397" s="3781"/>
      <c r="P397" s="3782"/>
      <c r="AM397" s="2495">
        <v>397</v>
      </c>
    </row>
    <row r="398" spans="1:39" ht="15.95" customHeight="1">
      <c r="A398" s="2152" t="s">
        <v>4928</v>
      </c>
      <c r="B398" s="3772"/>
      <c r="C398" s="3772"/>
      <c r="D398" s="3772"/>
      <c r="E398" s="3772"/>
      <c r="F398" s="3772"/>
      <c r="G398" s="3772"/>
      <c r="H398" s="3772"/>
      <c r="I398" s="3772"/>
      <c r="J398" s="3772"/>
      <c r="K398" s="3772"/>
      <c r="L398" s="2049"/>
      <c r="M398" s="3773"/>
      <c r="N398" s="3774"/>
      <c r="O398" s="3774"/>
      <c r="P398" s="3775"/>
      <c r="Q398" s="2149"/>
      <c r="AM398" s="2494">
        <v>398</v>
      </c>
    </row>
    <row r="399" spans="1:39" s="2164" customFormat="1" ht="15.95" customHeight="1">
      <c r="A399" s="2259"/>
      <c r="B399" s="2154"/>
      <c r="C399" s="2164" t="s">
        <v>4736</v>
      </c>
      <c r="D399" s="2266"/>
      <c r="E399" s="2266"/>
      <c r="F399" s="2234" t="s">
        <v>4925</v>
      </c>
      <c r="H399" s="2234" t="s">
        <v>4933</v>
      </c>
      <c r="I399" s="2266"/>
      <c r="J399" s="2101"/>
      <c r="K399" s="2325" t="str">
        <f>IF(OR($O399="",$O$12="4%"),"","Ineligible!")</f>
        <v/>
      </c>
      <c r="L399" s="2211" t="s">
        <v>4892</v>
      </c>
      <c r="M399" s="2111">
        <v>6</v>
      </c>
      <c r="N399" s="2231"/>
      <c r="O399" s="2050"/>
      <c r="P399" s="2326"/>
      <c r="Q399" s="2149" t="str">
        <f>IF(OR($O399&lt;=$M399,$O399=0,$O399=""),"","*CHECK!*")</f>
        <v/>
      </c>
      <c r="AM399" s="2494">
        <v>399</v>
      </c>
    </row>
    <row r="400" spans="1:39" ht="15.95" customHeight="1">
      <c r="A400" s="2109"/>
      <c r="B400" s="2131" t="s">
        <v>4843</v>
      </c>
      <c r="C400" s="2109"/>
      <c r="D400" s="2109"/>
      <c r="E400" s="2109"/>
      <c r="F400" s="2109"/>
      <c r="G400" s="2109"/>
      <c r="H400" s="2109"/>
      <c r="I400" s="2109"/>
      <c r="J400" s="2109"/>
      <c r="K400" s="2109"/>
      <c r="M400" s="2111"/>
      <c r="O400" s="2122"/>
      <c r="AM400" s="2494">
        <v>400</v>
      </c>
    </row>
    <row r="401" spans="1:39" ht="15.95" customHeight="1">
      <c r="A401" s="3776" t="s">
        <v>5154</v>
      </c>
      <c r="B401" s="3777"/>
      <c r="C401" s="3777"/>
      <c r="D401" s="3777"/>
      <c r="E401" s="3777"/>
      <c r="F401" s="3777"/>
      <c r="G401" s="3777"/>
      <c r="H401" s="3777"/>
      <c r="I401" s="3777"/>
      <c r="J401" s="3777"/>
      <c r="K401" s="3777"/>
      <c r="L401" s="3777"/>
      <c r="M401" s="3777"/>
      <c r="N401" s="3777"/>
      <c r="O401" s="3777"/>
      <c r="P401" s="3778"/>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6"/>
      <c r="B403" s="3757"/>
      <c r="C403" s="3757"/>
      <c r="D403" s="3757"/>
      <c r="E403" s="3757"/>
      <c r="F403" s="3757"/>
      <c r="G403" s="3757"/>
      <c r="H403" s="3757"/>
      <c r="I403" s="3757"/>
      <c r="J403" s="3757"/>
      <c r="K403" s="3757"/>
      <c r="L403" s="3757"/>
      <c r="M403" s="3757"/>
      <c r="N403" s="3757"/>
      <c r="O403" s="3757"/>
      <c r="P403" s="375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9" t="s">
        <v>4996</v>
      </c>
      <c r="R404" s="3760"/>
      <c r="S404" s="3760"/>
      <c r="T404" s="3760"/>
      <c r="U404" s="3760"/>
      <c r="V404" s="3760"/>
      <c r="W404" s="3760"/>
      <c r="X404" s="3760"/>
      <c r="Y404" s="3760"/>
      <c r="Z404" s="3760"/>
      <c r="AA404" s="3760"/>
      <c r="AB404" s="3760"/>
      <c r="AC404" s="3760"/>
      <c r="AD404" s="3760"/>
      <c r="AE404" s="3760"/>
      <c r="AF404" s="3760"/>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9"/>
      <c r="R405" s="3760"/>
      <c r="S405" s="3760"/>
      <c r="T405" s="3760"/>
      <c r="U405" s="3760"/>
      <c r="V405" s="3760"/>
      <c r="W405" s="3760"/>
      <c r="X405" s="3760"/>
      <c r="Y405" s="3760"/>
      <c r="Z405" s="3760"/>
      <c r="AA405" s="3760"/>
      <c r="AB405" s="3760"/>
      <c r="AC405" s="3760"/>
      <c r="AD405" s="3760"/>
      <c r="AE405" s="3760"/>
      <c r="AF405" s="3760"/>
      <c r="AM405" s="2495">
        <v>405</v>
      </c>
    </row>
    <row r="406" spans="1:39" ht="15.95" customHeight="1" thickBot="1">
      <c r="Q406" s="3759"/>
      <c r="R406" s="3760"/>
      <c r="S406" s="3760"/>
      <c r="T406" s="3760"/>
      <c r="U406" s="3760"/>
      <c r="V406" s="3760"/>
      <c r="W406" s="3760"/>
      <c r="X406" s="3760"/>
      <c r="Y406" s="3760"/>
      <c r="Z406" s="3760"/>
      <c r="AA406" s="3760"/>
      <c r="AB406" s="3760"/>
      <c r="AC406" s="3760"/>
      <c r="AD406" s="3760"/>
      <c r="AE406" s="3760"/>
      <c r="AF406" s="3760"/>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81.5</v>
      </c>
      <c r="P407" s="2446">
        <f>IF(AND($F$12="New Affordability",$O$12="9%"),$AZ$449,IF(AND($F$12="New Affordability",$O$12="4%"),$BA$449,IF(AND($F$12="Preservation",$O$12="9%"),$BB$449,IF(AND($F$12="Preservation",$O$12="4%"),$BC$449,0))))</f>
        <v>12</v>
      </c>
      <c r="Q407" s="3759"/>
      <c r="R407" s="3760"/>
      <c r="S407" s="3760"/>
      <c r="T407" s="3760"/>
      <c r="U407" s="3760"/>
      <c r="V407" s="3760"/>
      <c r="W407" s="3760"/>
      <c r="X407" s="3760"/>
      <c r="Y407" s="3760"/>
      <c r="Z407" s="3760"/>
      <c r="AA407" s="3760"/>
      <c r="AB407" s="3760"/>
      <c r="AC407" s="3760"/>
      <c r="AD407" s="3760"/>
      <c r="AE407" s="3760"/>
      <c r="AF407" s="3760"/>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9"/>
      <c r="R408" s="3760"/>
      <c r="S408" s="3760"/>
      <c r="T408" s="3760"/>
      <c r="U408" s="3760"/>
      <c r="V408" s="3760"/>
      <c r="W408" s="3760"/>
      <c r="X408" s="3760"/>
      <c r="Y408" s="3760"/>
      <c r="Z408" s="3760"/>
      <c r="AA408" s="3760"/>
      <c r="AB408" s="3760"/>
      <c r="AC408" s="3760"/>
      <c r="AD408" s="3760"/>
      <c r="AE408" s="3760"/>
      <c r="AF408" s="3760"/>
      <c r="AM408" s="2494">
        <v>408</v>
      </c>
    </row>
    <row r="409" spans="1:39" ht="7.5" customHeight="1">
      <c r="F409" s="2141"/>
      <c r="G409" s="2141"/>
      <c r="H409" s="2112"/>
      <c r="I409" s="2112"/>
      <c r="N409" s="2112"/>
      <c r="O409" s="2112"/>
      <c r="P409" s="2122"/>
      <c r="Q409" s="3759"/>
      <c r="R409" s="3760"/>
      <c r="S409" s="3760"/>
      <c r="T409" s="3760"/>
      <c r="U409" s="3760"/>
      <c r="V409" s="3760"/>
      <c r="W409" s="3760"/>
      <c r="X409" s="3760"/>
      <c r="Y409" s="3760"/>
      <c r="Z409" s="3760"/>
      <c r="AA409" s="3760"/>
      <c r="AB409" s="3760"/>
      <c r="AC409" s="3760"/>
      <c r="AD409" s="3760"/>
      <c r="AE409" s="3760"/>
      <c r="AF409" s="3760"/>
      <c r="AM409" s="2494">
        <v>409</v>
      </c>
    </row>
    <row r="410" spans="1:39" ht="33.950000000000003" customHeight="1">
      <c r="A410" s="3761" t="s">
        <v>5030</v>
      </c>
      <c r="B410" s="3761"/>
      <c r="C410" s="3761"/>
      <c r="D410" s="3761"/>
      <c r="E410" s="3761"/>
      <c r="F410" s="3761"/>
      <c r="G410" s="3761"/>
      <c r="H410" s="3761"/>
      <c r="I410" s="3761"/>
      <c r="J410" s="3761"/>
      <c r="K410" s="3761"/>
      <c r="L410" s="3761"/>
      <c r="M410" s="3761"/>
      <c r="N410" s="3761"/>
      <c r="O410" s="3761"/>
      <c r="P410" s="3761"/>
      <c r="Q410" s="3759"/>
      <c r="R410" s="3760"/>
      <c r="S410" s="3760"/>
      <c r="T410" s="3760"/>
      <c r="U410" s="3760"/>
      <c r="V410" s="3760"/>
      <c r="W410" s="3760"/>
      <c r="X410" s="3760"/>
      <c r="Y410" s="3760"/>
      <c r="Z410" s="3760"/>
      <c r="AA410" s="3760"/>
      <c r="AB410" s="3760"/>
      <c r="AC410" s="3760"/>
      <c r="AD410" s="3760"/>
      <c r="AE410" s="3760"/>
      <c r="AF410" s="3760"/>
      <c r="AM410" s="2494">
        <v>410</v>
      </c>
    </row>
    <row r="411" spans="1:39" ht="409.15" customHeight="1">
      <c r="A411" s="3762"/>
      <c r="B411" s="3763"/>
      <c r="C411" s="3763"/>
      <c r="D411" s="3763"/>
      <c r="E411" s="3763"/>
      <c r="F411" s="3763"/>
      <c r="G411" s="3763"/>
      <c r="H411" s="3763"/>
      <c r="I411" s="3763"/>
      <c r="J411" s="3763"/>
      <c r="K411" s="3763"/>
      <c r="L411" s="3763"/>
      <c r="M411" s="3763"/>
      <c r="N411" s="3763"/>
      <c r="O411" s="3763"/>
      <c r="P411" s="3764"/>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5" t="s">
        <v>4456</v>
      </c>
      <c r="AW418" s="3765"/>
      <c r="AX418" s="3765"/>
      <c r="AY418" s="3765"/>
      <c r="AZ418" s="3765"/>
      <c r="BA418" s="3765"/>
      <c r="BB418" s="3765"/>
      <c r="BC418" s="3765"/>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6" t="s">
        <v>4457</v>
      </c>
      <c r="AW419" s="3767"/>
      <c r="AX419" s="3767"/>
      <c r="AY419" s="3768"/>
      <c r="AZ419" s="3769" t="s">
        <v>4458</v>
      </c>
      <c r="BA419" s="3770"/>
      <c r="BB419" s="3770"/>
      <c r="BC419" s="377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4036</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9" t="s">
        <v>4763</v>
      </c>
      <c r="AH421" s="3749"/>
      <c r="AI421" s="3749" t="s">
        <v>4401</v>
      </c>
      <c r="AJ421" s="3749"/>
      <c r="AK421" s="3752" t="s">
        <v>4037</v>
      </c>
      <c r="AL421" s="3752"/>
      <c r="AM421" s="3752"/>
      <c r="AN421" s="3752"/>
      <c r="AP421" s="2134"/>
      <c r="AQ421" s="2133" t="s">
        <v>4036</v>
      </c>
      <c r="AR421" s="2134"/>
      <c r="AS421" s="2134"/>
      <c r="AT421" s="2134"/>
      <c r="AV421" s="3753" t="s">
        <v>4763</v>
      </c>
      <c r="AW421" s="3754"/>
      <c r="AX421" s="3753" t="s">
        <v>4401</v>
      </c>
      <c r="AY421" s="3754"/>
      <c r="AZ421" s="3755" t="s">
        <v>4763</v>
      </c>
      <c r="BA421" s="3755"/>
      <c r="BB421" s="3747" t="s">
        <v>4401</v>
      </c>
      <c r="BC421" s="374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4745</v>
      </c>
      <c r="AI422" s="2465">
        <v>0.09</v>
      </c>
      <c r="AJ422" s="2465" t="s">
        <v>4745</v>
      </c>
      <c r="AK422" s="3749" t="str">
        <f>'Part I-Project Identification'!F12</f>
        <v>9% Credit Competitive Round only</v>
      </c>
      <c r="AL422" s="3749"/>
      <c r="AM422" s="3749"/>
      <c r="AN422" s="3749"/>
      <c r="AQ422" s="2109"/>
      <c r="AV422" s="2328">
        <v>0.09</v>
      </c>
      <c r="AW422" s="2328" t="s">
        <v>4745</v>
      </c>
      <c r="AX422" s="2328">
        <v>0.09</v>
      </c>
      <c r="AY422" s="2328" t="s">
        <v>4745</v>
      </c>
      <c r="AZ422" s="2329">
        <v>0.09</v>
      </c>
      <c r="BA422" s="2329" t="s">
        <v>4745</v>
      </c>
      <c r="BB422" s="2329">
        <v>0.09</v>
      </c>
      <c r="BC422" s="2329" t="s">
        <v>4745</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3678</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3678</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4443</v>
      </c>
      <c r="AC425" s="2028"/>
      <c r="AD425" s="2028"/>
      <c r="AE425" s="2028"/>
      <c r="AF425" s="2028"/>
      <c r="AG425" s="2467">
        <f>$M$37</f>
        <v>2</v>
      </c>
      <c r="AH425" s="2467">
        <f>$M$37</f>
        <v>2</v>
      </c>
      <c r="AI425" s="2467">
        <f>$M$37</f>
        <v>2</v>
      </c>
      <c r="AJ425" s="2467">
        <f>$M$37</f>
        <v>2</v>
      </c>
      <c r="AK425" s="1997" t="s">
        <v>4038</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4443</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2</v>
      </c>
      <c r="AW426" s="2348">
        <f>$O$55</f>
        <v>2</v>
      </c>
      <c r="AX426" s="2349">
        <f>$O$55</f>
        <v>2</v>
      </c>
      <c r="AY426" s="2350">
        <f>$O$55</f>
        <v>2</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4030</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4030</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4444</v>
      </c>
      <c r="AC428" s="2028"/>
      <c r="AD428" s="2028"/>
      <c r="AE428" s="2028"/>
      <c r="AF428" s="2028"/>
      <c r="AG428" s="2467">
        <f>$M$100</f>
        <v>5</v>
      </c>
      <c r="AH428" s="2467">
        <f>$M$100</f>
        <v>5</v>
      </c>
      <c r="AI428" s="2467">
        <f>$M$100</f>
        <v>5</v>
      </c>
      <c r="AJ428" s="2467">
        <f>$M$100</f>
        <v>5</v>
      </c>
      <c r="AK428" s="3750" t="s">
        <v>4455</v>
      </c>
      <c r="AL428" s="3750"/>
      <c r="AM428" s="3750"/>
      <c r="AN428" s="3750"/>
      <c r="AP428" s="2147" t="s">
        <v>719</v>
      </c>
      <c r="AQ428" s="2338" t="s">
        <v>4444</v>
      </c>
      <c r="AR428" s="2344"/>
      <c r="AS428" s="2344"/>
      <c r="AT428" s="2344"/>
      <c r="AU428" s="2344"/>
      <c r="AV428" s="2339">
        <f>$O$100</f>
        <v>2</v>
      </c>
      <c r="AW428" s="2355">
        <f>$O$100</f>
        <v>2</v>
      </c>
      <c r="AX428" s="2349">
        <f>$O$100</f>
        <v>2</v>
      </c>
      <c r="AY428" s="2350">
        <f>$O$100</f>
        <v>2</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4832</v>
      </c>
      <c r="AC429" s="2028"/>
      <c r="AD429" s="2028"/>
      <c r="AE429" s="2028"/>
      <c r="AF429" s="2028"/>
      <c r="AG429" s="2467">
        <f>$M$117</f>
        <v>13</v>
      </c>
      <c r="AH429" s="2467">
        <f>$M$117</f>
        <v>13</v>
      </c>
      <c r="AI429" s="2467">
        <f>$M$117</f>
        <v>13</v>
      </c>
      <c r="AJ429" s="2467">
        <f>$M$117</f>
        <v>13</v>
      </c>
      <c r="AK429" s="3750"/>
      <c r="AL429" s="3750"/>
      <c r="AM429" s="3750"/>
      <c r="AN429" s="3750"/>
      <c r="AP429" s="2147" t="s">
        <v>280</v>
      </c>
      <c r="AQ429" s="2338" t="s">
        <v>4832</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4026</v>
      </c>
      <c r="AC430" s="2028"/>
      <c r="AD430" s="2028"/>
      <c r="AE430" s="2028"/>
      <c r="AF430" s="2028"/>
      <c r="AG430" s="2467">
        <f>$M$141</f>
        <v>3</v>
      </c>
      <c r="AH430" s="2467">
        <f>$M$141</f>
        <v>3</v>
      </c>
      <c r="AI430" s="2467">
        <f>$M$141</f>
        <v>3</v>
      </c>
      <c r="AJ430" s="2467">
        <f>$M$141</f>
        <v>3</v>
      </c>
      <c r="AK430" s="1998" t="s">
        <v>4450</v>
      </c>
      <c r="AL430" s="1998"/>
      <c r="AM430" s="2012"/>
      <c r="AN430" s="2012"/>
      <c r="AP430" s="2147" t="s">
        <v>400</v>
      </c>
      <c r="AQ430" s="2338" t="s">
        <v>4026</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1" t="s">
        <v>1405</v>
      </c>
      <c r="H431" s="3751"/>
      <c r="I431" s="3751"/>
      <c r="J431" s="2028" t="s">
        <v>2941</v>
      </c>
      <c r="K431" s="2028"/>
      <c r="L431" s="2028"/>
      <c r="M431" s="2028"/>
      <c r="N431" s="2017"/>
      <c r="O431" s="2030">
        <v>2</v>
      </c>
      <c r="P431" s="2030"/>
      <c r="Q431" s="2028"/>
      <c r="R431" s="2028"/>
      <c r="S431" s="2028"/>
      <c r="AA431" s="2466" t="s">
        <v>342</v>
      </c>
      <c r="AB431" s="1998" t="s">
        <v>4833</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4833</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3931</v>
      </c>
      <c r="H432" s="2028" t="s">
        <v>3932</v>
      </c>
      <c r="I432" s="2033" t="s">
        <v>3930</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4042</v>
      </c>
      <c r="AL432" s="1998"/>
      <c r="AM432" s="2012"/>
      <c r="AN432" s="2012"/>
      <c r="AP432" s="2147" t="s">
        <v>343</v>
      </c>
      <c r="AQ432" s="2338" t="s">
        <v>3304</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3907</v>
      </c>
      <c r="AC433" s="2028"/>
      <c r="AD433" s="2028"/>
      <c r="AE433" s="2028"/>
      <c r="AF433" s="2028"/>
      <c r="AG433" s="2470">
        <f>$M$169</f>
        <v>6</v>
      </c>
      <c r="AH433" s="2470">
        <f>$M$169</f>
        <v>6</v>
      </c>
      <c r="AI433" s="2470"/>
      <c r="AJ433" s="2470"/>
      <c r="AK433" s="1998" t="s">
        <v>4405</v>
      </c>
      <c r="AL433" s="1998"/>
      <c r="AM433" s="2012" t="s">
        <v>4746</v>
      </c>
      <c r="AN433" s="2012" t="str">
        <f>IF('Part VII-Threshold Criteria'!$P$227="Agree","Yes","")</f>
        <v/>
      </c>
      <c r="AP433" s="2147" t="s">
        <v>344</v>
      </c>
      <c r="AQ433" s="2338" t="s">
        <v>3907</v>
      </c>
      <c r="AR433" s="2344"/>
      <c r="AS433" s="2344"/>
      <c r="AT433" s="2344"/>
      <c r="AU433" s="2344"/>
      <c r="AV433" s="2347">
        <f>$O$169</f>
        <v>3</v>
      </c>
      <c r="AW433" s="2348">
        <f>$O$169</f>
        <v>3</v>
      </c>
      <c r="AX433" s="2357"/>
      <c r="AY433" s="2358"/>
      <c r="AZ433" s="2351">
        <f>$P$169</f>
        <v>0</v>
      </c>
      <c r="BA433" s="2352">
        <f>$P$169</f>
        <v>0</v>
      </c>
      <c r="BB433" s="2359"/>
      <c r="BC433" s="2360"/>
    </row>
    <row r="434" spans="1:55">
      <c r="B434" s="2028"/>
      <c r="C434" s="2034"/>
      <c r="D434" s="2028"/>
      <c r="E434" s="2028"/>
      <c r="F434" s="2028"/>
      <c r="G434" s="2035" t="s">
        <v>435</v>
      </c>
      <c r="H434" s="2017" t="s">
        <v>3934</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4041</v>
      </c>
      <c r="AN434" s="2012" t="str">
        <f>IF('Part VII-Threshold Criteria'!$P$230="Agree","Yes","")</f>
        <v/>
      </c>
      <c r="AP434" s="2147" t="s">
        <v>1602</v>
      </c>
      <c r="AQ434" s="2338" t="s">
        <v>3249</v>
      </c>
      <c r="AR434" s="2344"/>
      <c r="AS434" s="2344"/>
      <c r="AT434" s="2344"/>
      <c r="AU434" s="2344"/>
      <c r="AV434" s="2347">
        <f>$O$190</f>
        <v>1.5</v>
      </c>
      <c r="AW434" s="2348">
        <f>$O$190</f>
        <v>1.5</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3933</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4451</v>
      </c>
      <c r="AN435" s="2012" t="str">
        <f>IF('Part VII-Threshold Criteria'!$P$231="Agree","Yes","")</f>
        <v/>
      </c>
      <c r="AP435" s="2147" t="s">
        <v>3280</v>
      </c>
      <c r="AQ435" s="2338" t="s">
        <v>3305</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3908</v>
      </c>
      <c r="AC436" s="2028"/>
      <c r="AD436" s="2028"/>
      <c r="AE436" s="2028"/>
      <c r="AF436" s="2028"/>
      <c r="AG436" s="2467">
        <f>$M$238</f>
        <v>10</v>
      </c>
      <c r="AH436" s="2467">
        <f>$M$238</f>
        <v>10</v>
      </c>
      <c r="AI436" s="2467"/>
      <c r="AJ436" s="2467"/>
      <c r="AK436" s="1998"/>
      <c r="AL436" s="1998"/>
      <c r="AM436" s="2012" t="s">
        <v>4452</v>
      </c>
      <c r="AN436" s="2012" t="str">
        <f>IF('Part VII-Threshold Criteria'!$P$232="Agree","Yes","")</f>
        <v/>
      </c>
      <c r="AP436" s="2147" t="s">
        <v>2075</v>
      </c>
      <c r="AQ436" s="2338" t="s">
        <v>3908</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3933</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3933</v>
      </c>
      <c r="J438" s="2028" t="s">
        <v>2953</v>
      </c>
      <c r="K438" s="2028"/>
      <c r="L438" s="2034"/>
      <c r="M438" s="2028"/>
      <c r="N438" s="2017"/>
      <c r="O438" s="2030">
        <v>1</v>
      </c>
      <c r="P438" s="2030"/>
      <c r="Q438" s="2028"/>
      <c r="R438" s="2028"/>
      <c r="S438" s="2028"/>
      <c r="AA438" s="2466" t="s">
        <v>3281</v>
      </c>
      <c r="AB438" s="1998" t="s">
        <v>4028</v>
      </c>
      <c r="AC438" s="2028"/>
      <c r="AD438" s="2028"/>
      <c r="AE438" s="2028"/>
      <c r="AF438" s="2028"/>
      <c r="AG438" s="2467">
        <f>$M$274</f>
        <v>4</v>
      </c>
      <c r="AH438" s="2467">
        <f>$M$274</f>
        <v>4</v>
      </c>
      <c r="AI438" s="2467"/>
      <c r="AJ438" s="2467"/>
      <c r="AK438" s="1998" t="s">
        <v>4453</v>
      </c>
      <c r="AL438" s="1998"/>
      <c r="AM438" s="2012"/>
      <c r="AN438" s="2012"/>
      <c r="AP438" s="2147" t="s">
        <v>3281</v>
      </c>
      <c r="AQ438" s="2338" t="s">
        <v>4028</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3912</v>
      </c>
      <c r="AC439" s="2028"/>
      <c r="AD439" s="2028"/>
      <c r="AE439" s="2028"/>
      <c r="AF439" s="2028"/>
      <c r="AG439" s="2467">
        <f>$M$286</f>
        <v>5</v>
      </c>
      <c r="AH439" s="2467"/>
      <c r="AI439" s="2467"/>
      <c r="AJ439" s="2467"/>
      <c r="AK439" s="1998" t="s">
        <v>4454</v>
      </c>
      <c r="AL439" s="1998"/>
      <c r="AM439" s="2012"/>
      <c r="AN439" s="2468" t="str">
        <f>'Part II-Sources of Funds'!$L$14</f>
        <v>No</v>
      </c>
      <c r="AP439" s="2147" t="s">
        <v>3279</v>
      </c>
      <c r="AQ439" s="2338" t="s">
        <v>3912</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3933</v>
      </c>
      <c r="J440" s="2028" t="s">
        <v>2947</v>
      </c>
      <c r="K440" s="2028"/>
      <c r="L440" s="2034"/>
      <c r="M440" s="2028"/>
      <c r="N440" s="2017"/>
      <c r="O440" s="2030">
        <v>1</v>
      </c>
      <c r="P440" s="2030"/>
      <c r="Q440" s="2028"/>
      <c r="R440" s="2028"/>
      <c r="S440" s="2028"/>
      <c r="AA440" s="2466" t="s">
        <v>3282</v>
      </c>
      <c r="AB440" s="2028" t="s">
        <v>4834</v>
      </c>
      <c r="AC440" s="2028"/>
      <c r="AD440" s="2028"/>
      <c r="AE440" s="2028"/>
      <c r="AF440" s="2028"/>
      <c r="AG440" s="2467">
        <f>$M$303</f>
        <v>10</v>
      </c>
      <c r="AH440" s="2467"/>
      <c r="AI440" s="2467"/>
      <c r="AJ440" s="2467"/>
      <c r="AK440" s="2028"/>
      <c r="AL440" s="2028"/>
      <c r="AM440" s="2017"/>
      <c r="AN440" s="2028"/>
      <c r="AP440" s="2147" t="s">
        <v>3282</v>
      </c>
      <c r="AQ440" s="2338" t="s">
        <v>4834</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3934</v>
      </c>
      <c r="I441" s="2033" t="s">
        <v>2446</v>
      </c>
      <c r="J441" s="2028" t="s">
        <v>2948</v>
      </c>
      <c r="K441" s="2028"/>
      <c r="L441" s="2034"/>
      <c r="M441" s="2028"/>
      <c r="N441" s="2017"/>
      <c r="O441" s="2030">
        <v>1</v>
      </c>
      <c r="P441" s="2030"/>
      <c r="Q441" s="2028"/>
      <c r="R441" s="2028"/>
      <c r="S441" s="2028"/>
      <c r="AA441" s="2466" t="s">
        <v>3283</v>
      </c>
      <c r="AB441" s="2028" t="s">
        <v>4835</v>
      </c>
      <c r="AC441" s="2028"/>
      <c r="AD441" s="2028"/>
      <c r="AE441" s="2028"/>
      <c r="AF441" s="2028"/>
      <c r="AG441" s="2467">
        <f>$M$317</f>
        <v>1</v>
      </c>
      <c r="AH441" s="2467"/>
      <c r="AI441" s="2467"/>
      <c r="AJ441" s="2467"/>
      <c r="AK441" s="2028"/>
      <c r="AL441" s="2028"/>
      <c r="AM441" s="2017"/>
      <c r="AN441" s="2028"/>
      <c r="AP441" s="2147" t="s">
        <v>3283</v>
      </c>
      <c r="AQ441" s="2338" t="s">
        <v>4835</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3934</v>
      </c>
      <c r="I442" s="2033" t="s">
        <v>2446</v>
      </c>
      <c r="J442" s="2028" t="s">
        <v>2949</v>
      </c>
      <c r="K442" s="2028"/>
      <c r="L442" s="2034"/>
      <c r="M442" s="2028"/>
      <c r="N442" s="2017"/>
      <c r="O442" s="2030">
        <v>1</v>
      </c>
      <c r="P442" s="2030"/>
      <c r="Q442" s="2028"/>
      <c r="R442" s="2028"/>
      <c r="S442" s="2028"/>
      <c r="AA442" s="2466" t="s">
        <v>3286</v>
      </c>
      <c r="AB442" s="1998" t="s">
        <v>4027</v>
      </c>
      <c r="AC442" s="2028"/>
      <c r="AD442" s="2028"/>
      <c r="AE442" s="2028"/>
      <c r="AF442" s="2028"/>
      <c r="AG442" s="2467">
        <f>$M$331</f>
        <v>1</v>
      </c>
      <c r="AH442" s="2467"/>
      <c r="AI442" s="2467"/>
      <c r="AJ442" s="2467"/>
      <c r="AK442" s="2028"/>
      <c r="AL442" s="2028"/>
      <c r="AM442" s="2017"/>
      <c r="AN442" s="2028"/>
      <c r="AP442" s="2147" t="s">
        <v>3286</v>
      </c>
      <c r="AQ442" s="2338" t="s">
        <v>4027</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3933</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3934</v>
      </c>
      <c r="I444" s="2033" t="s">
        <v>2446</v>
      </c>
      <c r="J444" s="2028" t="s">
        <v>2950</v>
      </c>
      <c r="K444" s="2028"/>
      <c r="L444" s="2034"/>
      <c r="M444" s="2028"/>
      <c r="N444" s="2017"/>
      <c r="O444" s="2030">
        <v>1</v>
      </c>
      <c r="P444" s="2030"/>
      <c r="Q444" s="2028"/>
      <c r="R444" s="2028"/>
      <c r="S444" s="2028"/>
      <c r="AA444" s="2466" t="s">
        <v>3288</v>
      </c>
      <c r="AB444" s="1998" t="s">
        <v>4448</v>
      </c>
      <c r="AC444" s="2028"/>
      <c r="AD444" s="2028"/>
      <c r="AE444" s="2028"/>
      <c r="AF444" s="2028"/>
      <c r="AG444" s="2467">
        <f>$M$350</f>
        <v>2</v>
      </c>
      <c r="AH444" s="2467"/>
      <c r="AI444" s="2469">
        <f>$M$350</f>
        <v>2</v>
      </c>
      <c r="AJ444" s="2467"/>
      <c r="AK444" s="2028"/>
      <c r="AL444" s="2028"/>
      <c r="AM444" s="2017"/>
      <c r="AN444" s="2028"/>
      <c r="AP444" s="2147" t="s">
        <v>3288</v>
      </c>
      <c r="AQ444" s="2338" t="s">
        <v>4448</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3933</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3933</v>
      </c>
      <c r="J446" s="2028"/>
      <c r="K446" s="2028"/>
      <c r="L446" s="2034"/>
      <c r="M446" s="2028"/>
      <c r="N446" s="2017"/>
      <c r="O446" s="2030"/>
      <c r="P446" s="2030"/>
      <c r="Q446" s="2028"/>
      <c r="R446" s="2028"/>
      <c r="S446" s="2028"/>
      <c r="AA446" s="2466" t="s">
        <v>3290</v>
      </c>
      <c r="AB446" s="2028" t="s">
        <v>4836</v>
      </c>
      <c r="AC446" s="2028"/>
      <c r="AD446" s="2028"/>
      <c r="AE446" s="2028"/>
      <c r="AF446" s="2028"/>
      <c r="AG446" s="2467"/>
      <c r="AH446" s="2467"/>
      <c r="AI446" s="2467">
        <f>$M$368</f>
        <v>0</v>
      </c>
      <c r="AJ446" s="2467">
        <f>$M$368</f>
        <v>0</v>
      </c>
      <c r="AK446" s="2028"/>
      <c r="AL446" s="2028"/>
      <c r="AM446" s="2017"/>
      <c r="AN446" s="2028"/>
      <c r="AP446" s="2147" t="s">
        <v>3290</v>
      </c>
      <c r="AQ446" s="2338" t="s">
        <v>4836</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3933</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3933</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3933</v>
      </c>
      <c r="J449" s="2028" t="s">
        <v>3247</v>
      </c>
      <c r="K449" s="2028"/>
      <c r="L449" s="2034"/>
      <c r="M449" s="2028"/>
      <c r="N449" s="2017"/>
      <c r="O449" s="2030"/>
      <c r="P449" s="2030"/>
      <c r="Q449" s="2028"/>
      <c r="R449" s="2028"/>
      <c r="S449" s="2028"/>
      <c r="AA449" s="1998"/>
      <c r="AB449" s="2471"/>
      <c r="AC449" s="1998"/>
      <c r="AD449" s="1997" t="s">
        <v>4139</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81.5</v>
      </c>
      <c r="AW449" s="2382">
        <f>IF(AND($O$12="4%",($C$12-$A$12)&gt;0),(SUM(AW423:AW447)-($C$12-$A$12)),SUM(AW423:AW447))</f>
        <v>73.5</v>
      </c>
      <c r="AX449" s="2382">
        <f>IF(AND($O$12="4%",($C$12-$A$12)&gt;0),(SUM(AX423:AX447)-($C$12-$A$12)),SUM(AX423:AX447))</f>
        <v>43</v>
      </c>
      <c r="AY449" s="2382">
        <f>SUM(AY423:AY447)</f>
        <v>39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3933</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3933</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3934</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3933</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3933</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3933</v>
      </c>
      <c r="J455" s="2028" t="s">
        <v>3170</v>
      </c>
      <c r="K455" s="2028"/>
      <c r="L455" s="2028"/>
      <c r="M455" s="2028"/>
      <c r="N455" s="2017"/>
      <c r="O455" s="2030"/>
      <c r="P455" s="2030"/>
      <c r="Q455" s="2028"/>
      <c r="R455" s="2028"/>
      <c r="S455" s="2028"/>
      <c r="AB455" s="2298" t="s">
        <v>4908</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3934</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10</v>
      </c>
      <c r="AJ456" s="2306">
        <f>$P$206</f>
        <v>0</v>
      </c>
      <c r="AK456" s="2307"/>
    </row>
    <row r="457" spans="1:55">
      <c r="B457" s="2028"/>
      <c r="C457" s="2028"/>
      <c r="D457" s="2028"/>
      <c r="E457" s="2028"/>
      <c r="F457" s="2028"/>
      <c r="G457" s="2035" t="s">
        <v>506</v>
      </c>
      <c r="H457" s="2017">
        <v>2020</v>
      </c>
      <c r="I457" s="2017" t="s">
        <v>3933</v>
      </c>
      <c r="J457" s="2028" t="s">
        <v>3243</v>
      </c>
      <c r="K457" s="2028"/>
      <c r="L457" s="2034"/>
      <c r="M457" s="2028"/>
      <c r="N457" s="2028"/>
      <c r="O457" s="2028"/>
      <c r="P457" s="2028"/>
      <c r="Q457" s="2028"/>
      <c r="R457" s="2028"/>
      <c r="S457" s="2028"/>
      <c r="AB457" s="2304"/>
      <c r="AC457" s="2109" t="s">
        <v>3908</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3933</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3934</v>
      </c>
      <c r="I459" s="2033" t="s">
        <v>2446</v>
      </c>
      <c r="J459" s="2028" t="s">
        <v>3171</v>
      </c>
      <c r="K459" s="2028"/>
      <c r="L459" s="2034"/>
      <c r="M459" s="2028"/>
      <c r="N459" s="2028"/>
      <c r="O459" s="2028"/>
      <c r="P459" s="2028"/>
      <c r="Q459" s="2028"/>
      <c r="R459" s="2028"/>
      <c r="S459" s="2028"/>
      <c r="AB459" s="2304"/>
      <c r="AC459" s="2109" t="s">
        <v>4834</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3934</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3933</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3933</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3933</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3933</v>
      </c>
      <c r="J464" s="2028" t="s">
        <v>3173</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3933</v>
      </c>
      <c r="J465" s="2028" t="s">
        <v>3174</v>
      </c>
      <c r="K465" s="2028"/>
      <c r="L465" s="2034"/>
      <c r="M465" s="2028"/>
      <c r="N465" s="2028"/>
      <c r="O465" s="2028"/>
      <c r="P465" s="2028"/>
      <c r="Q465" s="2028"/>
      <c r="R465" s="2028"/>
      <c r="S465" s="2028"/>
    </row>
    <row r="466" spans="2:19" ht="14.25">
      <c r="B466" s="2028"/>
      <c r="C466" s="2037"/>
      <c r="D466" s="2028"/>
      <c r="E466" s="2028"/>
      <c r="F466" s="2028"/>
      <c r="G466" s="2035" t="s">
        <v>3928</v>
      </c>
      <c r="H466" s="2017" t="s">
        <v>3934</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3934</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3934</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3934</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3933</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3933</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3933</v>
      </c>
      <c r="J472" s="2028"/>
      <c r="K472" s="2028"/>
      <c r="L472" s="2028"/>
      <c r="M472" s="2028"/>
      <c r="N472" s="2028"/>
      <c r="O472" s="2028"/>
      <c r="P472" s="2028"/>
      <c r="Q472" s="2028"/>
      <c r="R472" s="2028"/>
      <c r="S472" s="2028"/>
    </row>
    <row r="473" spans="2:19">
      <c r="B473" s="2028"/>
      <c r="C473" s="2028"/>
      <c r="D473" s="2028"/>
      <c r="E473" s="2028"/>
      <c r="F473" s="2028"/>
      <c r="G473" s="2035" t="s">
        <v>3929</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3933</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3933</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3933</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3933</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3933</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3933</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3933</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3934</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k4uAof2hdhLq7BneuB6kbdMEJzSvBw4V/EhlSBooeJf7ImVlBsXEinwiDsewKwWUPQ8sKIX6d5fN7Vuzjvd05w==" saltValue="kcHSgAX9ojZgdqg9TJT7F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Wesley Square, Norcross, Gwinnett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5050</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5051</v>
      </c>
      <c r="H5" s="1729"/>
      <c r="I5" s="1729"/>
      <c r="J5" s="1729"/>
      <c r="K5" s="1729"/>
      <c r="L5" s="2502"/>
      <c r="M5" s="1729"/>
      <c r="N5" s="1729"/>
      <c r="O5" s="1729"/>
      <c r="P5" s="2506" t="s">
        <v>3204</v>
      </c>
    </row>
    <row r="6" spans="1:16" ht="13.5" customHeight="1">
      <c r="A6" s="2504"/>
      <c r="B6" s="2504"/>
      <c r="C6" s="2504"/>
      <c r="D6" s="2504"/>
      <c r="E6" s="358"/>
      <c r="F6" s="2502"/>
      <c r="G6" s="2505" t="s">
        <v>5052</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3181</v>
      </c>
      <c r="G9" s="1729"/>
      <c r="H9" s="1729"/>
      <c r="I9" s="2509">
        <f ca="1">'Part III-A-Uses of Funds'!$J$191</f>
        <v>1300000</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5053</v>
      </c>
      <c r="J11" s="2476" t="s">
        <v>5054</v>
      </c>
      <c r="K11" s="2501"/>
      <c r="L11" s="1534"/>
      <c r="M11" s="1729"/>
      <c r="N11" s="1729"/>
      <c r="O11" s="1729" t="str">
        <f>'Part I-Project Identification'!O12</f>
        <v>2024QD-047</v>
      </c>
      <c r="P11" s="1729"/>
    </row>
    <row r="12" spans="1:16" ht="15">
      <c r="A12" s="2514"/>
      <c r="B12" s="2485"/>
      <c r="C12" s="2515"/>
      <c r="D12" s="2515"/>
      <c r="E12" s="2515"/>
      <c r="F12" s="2516" t="s">
        <v>4821</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One Street Residential, LLC</v>
      </c>
      <c r="G15" s="1729"/>
      <c r="H15" s="1729"/>
      <c r="I15" s="1729" t="s">
        <v>1665</v>
      </c>
      <c r="J15" s="1729" t="str">
        <f>'Part I-Project Identification'!J16</f>
        <v>Brendan Barr</v>
      </c>
      <c r="K15" s="1729"/>
      <c r="L15" s="1729"/>
      <c r="M15" s="2508" t="s">
        <v>1834</v>
      </c>
      <c r="N15" s="1729" t="str">
        <f>'Part I-Project Identification'!N16</f>
        <v>Managing Partner - Development</v>
      </c>
      <c r="O15" s="1729"/>
      <c r="P15" s="1729"/>
    </row>
    <row r="16" spans="1:16">
      <c r="A16" s="1729"/>
      <c r="B16" s="2508" t="s">
        <v>1597</v>
      </c>
      <c r="C16" s="1729"/>
      <c r="D16" s="1729"/>
      <c r="E16" s="1729"/>
      <c r="F16" s="2519">
        <f>'Part I-Project Identification'!F17</f>
        <v>7708508280</v>
      </c>
      <c r="G16" s="2519"/>
      <c r="H16" s="2519"/>
      <c r="I16" s="2508" t="s">
        <v>1596</v>
      </c>
      <c r="J16" s="1534">
        <f>'Part I-Project Identification'!J17</f>
        <v>0</v>
      </c>
      <c r="K16" s="1729"/>
      <c r="L16" s="1729"/>
      <c r="M16" s="2508" t="s">
        <v>1598</v>
      </c>
      <c r="N16" s="2519">
        <f>'Part I-Project Identification'!N17</f>
        <v>6782093079</v>
      </c>
      <c r="O16" s="2519"/>
      <c r="P16" s="2519"/>
    </row>
    <row r="17" spans="1:16">
      <c r="A17" s="1729"/>
      <c r="B17" s="2508" t="s">
        <v>1837</v>
      </c>
      <c r="C17" s="1729"/>
      <c r="D17" s="1729"/>
      <c r="E17" s="1729"/>
      <c r="F17" s="1729" t="str">
        <f>'Part I-Project Identification'!F18</f>
        <v>brendan@onestreetres.com</v>
      </c>
      <c r="G17" s="1729"/>
      <c r="H17" s="1729"/>
      <c r="I17" s="1729"/>
      <c r="J17" s="1729"/>
      <c r="K17" s="1729"/>
      <c r="L17" s="1729"/>
      <c r="M17" s="2508" t="s">
        <v>1833</v>
      </c>
      <c r="N17" s="2519">
        <f>'Part I-Project Identification'!N18</f>
        <v>6782093079</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One Street Residential, LLC</v>
      </c>
      <c r="G19" s="1729"/>
      <c r="H19" s="1729"/>
      <c r="I19" s="1729" t="s">
        <v>1665</v>
      </c>
      <c r="J19" s="1729" t="str">
        <f>'Part I-Project Identification'!J20</f>
        <v>Thurston Cooke</v>
      </c>
      <c r="K19" s="1729"/>
      <c r="L19" s="1729"/>
      <c r="M19" s="2508" t="s">
        <v>1834</v>
      </c>
      <c r="N19" s="1729" t="str">
        <f>'Part I-Project Identification'!N20</f>
        <v>Managing Partner - CFO</v>
      </c>
      <c r="O19" s="1729"/>
      <c r="P19" s="1729"/>
    </row>
    <row r="20" spans="1:16">
      <c r="A20" s="1729"/>
      <c r="B20" s="2508" t="s">
        <v>1597</v>
      </c>
      <c r="C20" s="1729"/>
      <c r="D20" s="1729"/>
      <c r="E20" s="1729"/>
      <c r="F20" s="2519">
        <f>'Part I-Project Identification'!F21</f>
        <v>7708508280</v>
      </c>
      <c r="G20" s="2519"/>
      <c r="H20" s="2519"/>
      <c r="I20" s="2508" t="s">
        <v>1596</v>
      </c>
      <c r="J20" s="1534">
        <f>'Part I-Project Identification'!J21</f>
        <v>0</v>
      </c>
      <c r="K20" s="1729"/>
      <c r="L20" s="1729"/>
      <c r="M20" s="2508" t="s">
        <v>1598</v>
      </c>
      <c r="N20" s="2519">
        <f>'Part I-Project Identification'!N21</f>
        <v>4043178953</v>
      </c>
      <c r="O20" s="2519"/>
      <c r="P20" s="2519"/>
    </row>
    <row r="21" spans="1:16">
      <c r="A21" s="1729"/>
      <c r="B21" s="2508" t="s">
        <v>1837</v>
      </c>
      <c r="C21" s="1729"/>
      <c r="D21" s="1729"/>
      <c r="E21" s="1729"/>
      <c r="F21" s="1729" t="str">
        <f>'Part I-Project Identification'!F22</f>
        <v>thurston@onestreetres.com</v>
      </c>
      <c r="G21" s="1729"/>
      <c r="H21" s="1729"/>
      <c r="I21" s="1729"/>
      <c r="J21" s="1729"/>
      <c r="K21" s="1729"/>
      <c r="L21" s="1729"/>
      <c r="M21" s="2508" t="s">
        <v>1833</v>
      </c>
      <c r="N21" s="2519">
        <f>'Part I-Project Identification'!N22</f>
        <v>4043178953</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Wesley Square</v>
      </c>
      <c r="G25" s="1729"/>
      <c r="H25" s="1729"/>
      <c r="I25" s="1729"/>
      <c r="J25" s="1729"/>
      <c r="K25" s="1729"/>
      <c r="L25" s="1729"/>
      <c r="M25" s="2508" t="s">
        <v>424</v>
      </c>
      <c r="N25" s="1729"/>
      <c r="O25" s="1729"/>
      <c r="P25" s="2520" t="str">
        <f>'Part I-Project Identification'!P26</f>
        <v>Yes</v>
      </c>
    </row>
    <row r="26" spans="1:16">
      <c r="A26" s="2502"/>
      <c r="B26" s="1729" t="s">
        <v>574</v>
      </c>
      <c r="C26" s="1729"/>
      <c r="D26" s="1729"/>
      <c r="E26" s="1729"/>
      <c r="F26" s="1729" t="str">
        <f>'Part I-Project Identification'!F27</f>
        <v>Norcross</v>
      </c>
      <c r="G26" s="1729"/>
      <c r="H26" s="1729"/>
      <c r="I26" s="2521" t="s">
        <v>575</v>
      </c>
      <c r="J26" s="1729" t="str">
        <f>'Part I-Project Identification'!J27</f>
        <v>Gwinnett</v>
      </c>
      <c r="K26" s="1729"/>
      <c r="L26" s="1729"/>
      <c r="M26" s="2508" t="s">
        <v>425</v>
      </c>
      <c r="N26" s="1729"/>
      <c r="O26" s="1729"/>
      <c r="P26" s="2520" t="str">
        <f>'Part I-Project Identification'!P27</f>
        <v>No</v>
      </c>
    </row>
    <row r="27" spans="1:16" ht="13.5">
      <c r="A27" s="2502"/>
      <c r="B27" s="1729" t="s">
        <v>3780</v>
      </c>
      <c r="C27" s="2522"/>
      <c r="D27" s="1593"/>
      <c r="E27" s="1593"/>
      <c r="F27" s="1729" t="str">
        <f>'Part I-Project Identification'!F28</f>
        <v>Unincorporated County</v>
      </c>
      <c r="G27" s="1729"/>
      <c r="H27" s="1729"/>
      <c r="I27" s="1534"/>
      <c r="J27" s="378" t="s">
        <v>4615</v>
      </c>
      <c r="K27" s="1534"/>
      <c r="L27" s="1729"/>
      <c r="M27" s="2508" t="s">
        <v>4558</v>
      </c>
      <c r="N27" s="1729"/>
      <c r="O27" s="2523">
        <f>'Part I-Project Identification'!O28</f>
        <v>6.44</v>
      </c>
      <c r="P27" s="2523"/>
    </row>
    <row r="28" spans="1:16">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4546</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4545</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3806</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The Project Team is a joint venture between Gwinnett Housing Corporation, a 501©3 non-profit development organization established by its parent company the Lawrenceville Housing Authority, and OneStreet Residential. The full qualifications package for this partnership in addition to the Project Team's Qualification Determination Letter are included in folder "06CompliancePerf".</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Wesley Square, Norcross, Gwinnett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3979</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3751</v>
      </c>
      <c r="D50" s="1729"/>
      <c r="E50" s="1534" t="str">
        <f>'Part II-Sources of Funds'!E7</f>
        <v>No</v>
      </c>
      <c r="F50" s="2505" t="s">
        <v>3980</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4553</v>
      </c>
      <c r="D51" s="2475"/>
      <c r="E51" s="2475"/>
      <c r="F51" s="2475" t="s">
        <v>4555</v>
      </c>
      <c r="G51" s="2475"/>
      <c r="H51" s="2475" t="str">
        <f>'Part II-Sources of Funds'!H8</f>
        <v>Specify Other HOME Source here</v>
      </c>
      <c r="I51" s="2475"/>
      <c r="J51" s="2475"/>
      <c r="K51" s="2475"/>
      <c r="L51" s="1534" t="str">
        <f>'Part II-Sources of Funds'!L8</f>
        <v>No</v>
      </c>
      <c r="M51" s="2505" t="s">
        <v>4557</v>
      </c>
      <c r="N51" s="2475"/>
      <c r="O51" s="2475"/>
      <c r="P51" s="2528"/>
      <c r="Q51" s="2528"/>
    </row>
    <row r="52" spans="1:17" ht="13.5">
      <c r="A52" s="2502"/>
      <c r="B52" s="1534" t="str">
        <f>'Part II-Sources of Funds'!B9</f>
        <v>No</v>
      </c>
      <c r="C52" s="2475" t="s">
        <v>3215</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3752</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3107</v>
      </c>
      <c r="N53" s="2475"/>
      <c r="O53" s="2475"/>
      <c r="P53" s="2528"/>
      <c r="Q53" s="2528"/>
    </row>
    <row r="54" spans="1:17" ht="13.5">
      <c r="A54" s="2502"/>
      <c r="B54" s="1534" t="str">
        <f>'Part II-Sources of Funds'!B11</f>
        <v>No</v>
      </c>
      <c r="C54" s="2505" t="s">
        <v>2389</v>
      </c>
      <c r="D54" s="2475"/>
      <c r="E54" s="1534" t="str">
        <f>'Part II-Sources of Funds'!E11</f>
        <v>Yes</v>
      </c>
      <c r="F54" s="2475" t="str">
        <f>'Part II-Sources of Funds'!F11</f>
        <v>Local ARPA Funding</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3108</v>
      </c>
      <c r="D55" s="2475"/>
      <c r="E55" s="2475"/>
      <c r="F55" s="2475" t="str">
        <f>'Part II-Sources of Funds'!F12</f>
        <v>Gwinnett County</v>
      </c>
      <c r="G55" s="2475"/>
      <c r="H55" s="2475"/>
      <c r="I55" s="2475"/>
      <c r="J55" s="2475"/>
      <c r="K55" s="2475"/>
      <c r="L55" s="1534" t="str">
        <f>'Part II-Sources of Funds'!L12</f>
        <v>No</v>
      </c>
      <c r="M55" s="2475" t="s">
        <v>3134</v>
      </c>
      <c r="N55" s="2475"/>
      <c r="O55" s="2475"/>
      <c r="P55" s="2475"/>
      <c r="Q55" s="2475"/>
    </row>
    <row r="56" spans="1:17" ht="13.5">
      <c r="A56" s="2502"/>
      <c r="B56" s="1534" t="str">
        <f>'Part II-Sources of Funds'!B13</f>
        <v>No</v>
      </c>
      <c r="C56" s="2505" t="s">
        <v>4554</v>
      </c>
      <c r="D56" s="2475"/>
      <c r="E56" s="1534" t="str">
        <f>'Part II-Sources of Funds'!E13</f>
        <v>No</v>
      </c>
      <c r="F56" s="2505" t="s">
        <v>4556</v>
      </c>
      <c r="G56" s="2475"/>
      <c r="H56" s="2475" t="str">
        <f>'Part II-Sources of Funds'!H13</f>
        <v>Specify Other PBRA Source here</v>
      </c>
      <c r="I56" s="2475"/>
      <c r="J56" s="2475"/>
      <c r="K56" s="2475"/>
      <c r="L56" s="1534" t="str">
        <f>'Part II-Sources of Funds'!L13</f>
        <v>No</v>
      </c>
      <c r="M56" s="2475" t="s">
        <v>3978</v>
      </c>
      <c r="N56" s="2475"/>
      <c r="O56" s="2475"/>
      <c r="P56" s="2475"/>
      <c r="Q56" s="2475"/>
    </row>
    <row r="57" spans="1:17" ht="13.5">
      <c r="A57" s="2502"/>
      <c r="B57" s="1534" t="str">
        <f>'Part II-Sources of Funds'!B14</f>
        <v>No</v>
      </c>
      <c r="C57" s="2475" t="s">
        <v>2391</v>
      </c>
      <c r="D57" s="2475"/>
      <c r="E57" s="1534" t="str">
        <f>'Part II-Sources of Funds'!E14</f>
        <v>No</v>
      </c>
      <c r="F57" s="2505" t="s">
        <v>3214</v>
      </c>
      <c r="G57" s="2475"/>
      <c r="H57" s="2475"/>
      <c r="I57" s="2475"/>
      <c r="J57" s="2475"/>
      <c r="K57" s="2475"/>
      <c r="L57" s="1534" t="str">
        <f>'Part II-Sources of Funds'!L14</f>
        <v>No</v>
      </c>
      <c r="M57" s="2475" t="s">
        <v>4602</v>
      </c>
      <c r="N57" s="2475"/>
      <c r="O57" s="2475"/>
      <c r="P57" s="2475"/>
      <c r="Q57" s="2475"/>
    </row>
    <row r="58" spans="1:17" ht="13.5">
      <c r="A58" s="2502"/>
      <c r="B58" s="1534" t="str">
        <f>'Part II-Sources of Funds'!B15</f>
        <v>No</v>
      </c>
      <c r="C58" s="2475" t="s">
        <v>3133</v>
      </c>
      <c r="D58" s="2475"/>
      <c r="E58" s="1534" t="str">
        <f>'Part II-Sources of Funds'!E15</f>
        <v>No</v>
      </c>
      <c r="F58" s="2505" t="s">
        <v>3981</v>
      </c>
      <c r="G58" s="2475"/>
      <c r="H58" s="2475"/>
      <c r="I58" s="2475"/>
      <c r="J58" s="2475"/>
      <c r="K58" s="2475"/>
      <c r="L58" s="1534" t="str">
        <f>'Part II-Sources of Funds'!L15</f>
        <v>No</v>
      </c>
      <c r="M58" s="2528" t="s">
        <v>3982</v>
      </c>
      <c r="N58" s="2475"/>
      <c r="O58" s="2475"/>
      <c r="P58" s="2475"/>
      <c r="Q58" s="2475"/>
    </row>
    <row r="59" spans="1:17" ht="13.5">
      <c r="A59" s="2502"/>
      <c r="B59" s="1534" t="str">
        <f>'Part II-Sources of Funds'!B16</f>
        <v>No</v>
      </c>
      <c r="C59" s="2505" t="s">
        <v>1668</v>
      </c>
      <c r="D59" s="2475"/>
      <c r="E59" s="1534" t="str">
        <f>'Part II-Sources of Funds'!E16</f>
        <v>No</v>
      </c>
      <c r="F59" s="2505" t="s">
        <v>4395</v>
      </c>
      <c r="G59" s="2475"/>
      <c r="H59" s="2475"/>
      <c r="I59" s="2530">
        <f>'Part II-Sources of Funds'!I16</f>
        <v>0</v>
      </c>
      <c r="J59" s="358"/>
      <c r="K59" s="2475"/>
      <c r="L59" s="1534" t="str">
        <f>'Part II-Sources of Funds'!L16</f>
        <v>No</v>
      </c>
      <c r="M59" s="2528" t="s">
        <v>3977</v>
      </c>
      <c r="N59" s="2475"/>
      <c r="O59" s="2475"/>
      <c r="P59" s="2475"/>
      <c r="Q59" s="2475"/>
    </row>
    <row r="60" spans="1:17" ht="13.5">
      <c r="A60" s="2502"/>
      <c r="B60" s="2475" t="s">
        <v>3753</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3719</v>
      </c>
      <c r="M64" s="1729"/>
      <c r="N64" s="1729" t="s">
        <v>1408</v>
      </c>
      <c r="O64" s="1729"/>
      <c r="P64" s="1729" t="s">
        <v>1521</v>
      </c>
      <c r="Q64" s="1729"/>
    </row>
    <row r="65" spans="1:17">
      <c r="A65" s="1729"/>
      <c r="B65" s="1729" t="s">
        <v>1484</v>
      </c>
      <c r="C65" s="1729"/>
      <c r="D65" s="1729"/>
      <c r="E65" s="1729"/>
      <c r="F65" s="1729"/>
      <c r="G65" s="1729"/>
      <c r="H65" s="1729" t="str">
        <f>'Part II-Sources of Funds'!H22</f>
        <v>Truist Bank</v>
      </c>
      <c r="I65" s="1729"/>
      <c r="J65" s="1729"/>
      <c r="K65" s="1729"/>
      <c r="L65" s="2531">
        <f>'Part II-Sources of Funds'!L22</f>
        <v>16500000</v>
      </c>
      <c r="M65" s="2531"/>
      <c r="N65" s="2532">
        <f>'Part II-Sources of Funds'!N22</f>
        <v>8.3099999999999993E-2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t="str">
        <f>'Part II-Sources of Funds'!H25</f>
        <v>Gwinnett County ARPA</v>
      </c>
      <c r="I68" s="1729"/>
      <c r="J68" s="1729"/>
      <c r="K68" s="1729"/>
      <c r="L68" s="2531">
        <f>'Part II-Sources of Funds'!L25</f>
        <v>1640000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Truist Community Capital</v>
      </c>
      <c r="I71" s="1729"/>
      <c r="J71" s="1729"/>
      <c r="K71" s="1729"/>
      <c r="L71" s="2531">
        <f ca="1">'Part II-Sources of Funds'!L28</f>
        <v>2288000</v>
      </c>
      <c r="M71" s="2531"/>
      <c r="N71" s="1729"/>
      <c r="O71" s="2475"/>
      <c r="P71" s="2475"/>
      <c r="Q71" s="1729"/>
    </row>
    <row r="72" spans="1:17" ht="13.5">
      <c r="A72" s="1729"/>
      <c r="B72" s="1729" t="s">
        <v>746</v>
      </c>
      <c r="C72" s="1729"/>
      <c r="D72" s="1729"/>
      <c r="E72" s="1729"/>
      <c r="F72" s="2475"/>
      <c r="G72" s="2475"/>
      <c r="H72" s="1729" t="str">
        <f>'Part II-Sources of Funds'!H29</f>
        <v>Truist Community Capital</v>
      </c>
      <c r="I72" s="1729"/>
      <c r="J72" s="1729"/>
      <c r="K72" s="1729"/>
      <c r="L72" s="2531">
        <f ca="1">'Part II-Sources of Funds'!L29</f>
        <v>1430000.0000000002</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 ca="1">SUM(L65:L75)</f>
        <v>21858000</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21609711</v>
      </c>
      <c r="M77" s="2534"/>
      <c r="N77" s="377"/>
      <c r="O77" s="2475"/>
      <c r="P77" s="2475"/>
      <c r="Q77" s="2475"/>
    </row>
    <row r="78" spans="1:17" ht="13.5">
      <c r="A78" s="1729"/>
      <c r="B78" s="2508" t="s">
        <v>1997</v>
      </c>
      <c r="C78" s="1729"/>
      <c r="D78" s="1729"/>
      <c r="E78" s="1729"/>
      <c r="F78" s="1729"/>
      <c r="G78" s="1729"/>
      <c r="H78" s="1729"/>
      <c r="I78" s="1729"/>
      <c r="J78" s="2475"/>
      <c r="K78" s="2475"/>
      <c r="L78" s="2535">
        <f ca="1">L76-L77</f>
        <v>248289</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3718</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 xml:space="preserve">Grandbridge Real Estate Capital </v>
      </c>
      <c r="F83" s="1729"/>
      <c r="G83" s="1729"/>
      <c r="H83" s="1729"/>
      <c r="I83" s="2536">
        <f>'Part II-Sources of Funds'!I40</f>
        <v>3841375</v>
      </c>
      <c r="J83" s="1729"/>
      <c r="K83" s="2537">
        <f>'Part II-Sources of Funds'!K40</f>
        <v>7.1999999999999995E-2</v>
      </c>
      <c r="L83" s="1534">
        <f>'Part II-Sources of Funds'!L40</f>
        <v>15</v>
      </c>
      <c r="M83" s="1534">
        <f>'Part II-Sources of Funds'!M40</f>
        <v>35</v>
      </c>
      <c r="N83" s="1729" t="str">
        <f>'Part II-Sources of Funds'!N40</f>
        <v>Amortizing</v>
      </c>
      <c r="O83" s="1729"/>
      <c r="P83" s="2538">
        <f>'Part II-Sources of Funds'!P40</f>
        <v>300978.66166959668</v>
      </c>
      <c r="Q83" s="2538"/>
    </row>
    <row r="84" spans="1:17">
      <c r="A84" s="1729"/>
      <c r="B84" s="1729" t="s">
        <v>2397</v>
      </c>
      <c r="C84" s="1729"/>
      <c r="D84" s="1729"/>
      <c r="E84" s="1729" t="str">
        <f>'Part II-Sources of Funds'!E41</f>
        <v>Gwinnett County ARPA</v>
      </c>
      <c r="F84" s="1729"/>
      <c r="G84" s="1729"/>
      <c r="H84" s="1729"/>
      <c r="I84" s="2536">
        <f>'Part II-Sources of Funds'!I41</f>
        <v>1640000</v>
      </c>
      <c r="J84" s="1729"/>
      <c r="K84" s="2537">
        <f>'Part II-Sources of Funds'!K41</f>
        <v>4.5499999999999999E-2</v>
      </c>
      <c r="L84" s="1534">
        <f>'Part II-Sources of Funds'!L41</f>
        <v>20</v>
      </c>
      <c r="M84" s="1534">
        <f>'Part II-Sources of Funds'!M41</f>
        <v>0</v>
      </c>
      <c r="N84" s="1729" t="str">
        <f>'Part II-Sources of Funds'!N41</f>
        <v>Cash Flow</v>
      </c>
      <c r="O84" s="1729"/>
      <c r="P84" s="2538">
        <f>'Part II-Sources of Funds'!P41</f>
        <v>0</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3817</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2.8414502164502163E-2</v>
      </c>
      <c r="E88" s="1729" t="str">
        <f>'Part II-Sources of Funds'!E45</f>
        <v>OneStreet Development, LLC and GHC</v>
      </c>
      <c r="F88" s="1729"/>
      <c r="G88" s="1729"/>
      <c r="H88" s="1729"/>
      <c r="I88" s="2536">
        <f>'Part II-Sources of Funds'!I45</f>
        <v>52510</v>
      </c>
      <c r="J88" s="1729"/>
      <c r="K88" s="2537">
        <f>'Part II-Sources of Funds'!K45</f>
        <v>0</v>
      </c>
      <c r="L88" s="1534">
        <f>'Part II-Sources of Funds'!L45</f>
        <v>15</v>
      </c>
      <c r="M88" s="1534">
        <f>'Part II-Sources of Funds'!M45</f>
        <v>15</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f>'Part II-Sources of Funds'!F47</f>
        <v>749458.48327678838</v>
      </c>
      <c r="G90" s="2475"/>
      <c r="H90" s="2544" t="s">
        <v>3315</v>
      </c>
      <c r="I90" s="2543" t="str">
        <f>'Part II-Sources of Funds'!I47</f>
        <v/>
      </c>
      <c r="J90" s="2475"/>
      <c r="K90" s="2544" t="s">
        <v>3317</v>
      </c>
      <c r="L90" s="2545" t="e">
        <f>'Part II-Sources of Funds'!L47</f>
        <v>#VALUE!</v>
      </c>
      <c r="M90" s="2545"/>
      <c r="N90" s="2538" t="s">
        <v>3722</v>
      </c>
      <c r="O90" s="2538"/>
      <c r="P90" s="1730">
        <f ca="1">'Part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Truist Community Capital</v>
      </c>
      <c r="F94" s="1729"/>
      <c r="G94" s="1729"/>
      <c r="H94" s="1729"/>
      <c r="I94" s="2536">
        <f ca="1">'Part II-Sources of Funds'!I51</f>
        <v>11440000</v>
      </c>
      <c r="J94" s="1729"/>
      <c r="K94" s="2475"/>
      <c r="L94" s="2549">
        <f ca="1">'Part III-A-Uses of Funds'!$J$191*10*'Part III-A-Uses of Funds'!$N$182</f>
        <v>11440000</v>
      </c>
      <c r="M94" s="2549"/>
      <c r="N94" s="2550">
        <f ca="1">I94-L94</f>
        <v>0</v>
      </c>
      <c r="O94" s="2550"/>
      <c r="P94" s="2551">
        <f ca="1">I94/I104</f>
        <v>0.47421880845477415</v>
      </c>
      <c r="Q94" s="1729"/>
    </row>
    <row r="95" spans="1:17" ht="13.5">
      <c r="A95" s="1729"/>
      <c r="B95" s="1729" t="s">
        <v>746</v>
      </c>
      <c r="C95" s="1729"/>
      <c r="D95" s="1729"/>
      <c r="E95" s="1729" t="str">
        <f>'Part II-Sources of Funds'!E52</f>
        <v>Truist Community Capital</v>
      </c>
      <c r="F95" s="1729"/>
      <c r="G95" s="1729"/>
      <c r="H95" s="1729"/>
      <c r="I95" s="2536">
        <f ca="1">'Part II-Sources of Funds'!I52</f>
        <v>7150000.0000000009</v>
      </c>
      <c r="J95" s="1729"/>
      <c r="K95" s="2475"/>
      <c r="L95" s="2549">
        <f ca="1">'Part III-A-Uses of Funds'!$J$191*10*'Part III-A-Uses of Funds'!$Q$182</f>
        <v>7150000.0000000009</v>
      </c>
      <c r="M95" s="2549"/>
      <c r="N95" s="2550">
        <f ca="1">I95-L95</f>
        <v>0</v>
      </c>
      <c r="O95" s="2550"/>
      <c r="P95" s="2551">
        <f ca="1">I95/I104</f>
        <v>0.29638675528423392</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 ca="1">SUM(P94:P95)</f>
        <v>0.77060556373900813</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 ca="1">SUM(I83:J88)+SUM(I92:J102)</f>
        <v>24123885</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24123885</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 ca="1">I103-I104</f>
        <v>0</v>
      </c>
      <c r="J105" s="2535"/>
      <c r="K105" s="1729"/>
      <c r="L105" s="1534"/>
      <c r="M105" s="1729"/>
      <c r="N105" s="1729"/>
      <c r="O105" s="1729"/>
      <c r="P105" s="1729"/>
      <c r="Q105" s="1729"/>
    </row>
    <row r="106" spans="1:20">
      <c r="A106" s="1729" t="s">
        <v>3818</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The percentage of non-tax credit, unrestricted permanent financing against total develoment costs exceeds the percentage of market rate units in this application, as required by DCA.
Commitment letter for Gwinnett County ARP/SLFRF funds can be found in folder "05FavorFinan" and "08Readiness". Debt and Equity commitmemnt letters can be found in "08Readiness".</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Wesley Square,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5000</v>
      </c>
      <c r="H119" s="2531"/>
      <c r="I119" s="1729"/>
      <c r="J119" s="2531">
        <f>'Part III-A-Uses of Funds'!J9</f>
        <v>5000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6400</v>
      </c>
      <c r="H120" s="2531"/>
      <c r="I120" s="1729"/>
      <c r="J120" s="2531">
        <f>'Part III-A-Uses of Funds'!J10</f>
        <v>6400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45700</v>
      </c>
      <c r="H121" s="2531"/>
      <c r="I121" s="1729"/>
      <c r="J121" s="2531">
        <f>'Part III-A-Uses of Funds'!J11</f>
        <v>45700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20000</v>
      </c>
      <c r="H122" s="2531"/>
      <c r="I122" s="1729"/>
      <c r="J122" s="2531">
        <f>'Part III-A-Uses of Funds'!J12</f>
        <v>20000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20500</v>
      </c>
      <c r="H123" s="2531"/>
      <c r="I123" s="1729"/>
      <c r="J123" s="2531">
        <f>'Part III-A-Uses of Funds'!J13</f>
        <v>20500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31000</v>
      </c>
      <c r="H124" s="2531"/>
      <c r="I124" s="1729"/>
      <c r="J124" s="2531">
        <f>'Part III-A-Uses of Funds'!J14</f>
        <v>31000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4167</v>
      </c>
      <c r="C125" s="2475" t="str">
        <f>'Part III-A-Uses of Funds'!C15</f>
        <v>Asbestos Remediation</v>
      </c>
      <c r="D125" s="2475"/>
      <c r="E125" s="2475"/>
      <c r="F125" s="2475"/>
      <c r="G125" s="2531">
        <f>'Part III-A-Uses of Funds'!G15</f>
        <v>5000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5000</v>
      </c>
      <c r="T125" s="2531"/>
    </row>
    <row r="126" spans="1:20" ht="15.6" customHeight="1">
      <c r="A126" s="2554" t="str">
        <f>IF(AND(G126&gt;0,OR(C126="",C126="&lt;Enter detailed description here; use Comments section if needed&gt;")),"X","")</f>
        <v/>
      </c>
      <c r="B126" s="2507" t="s">
        <v>4168</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4169</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133600</v>
      </c>
      <c r="H128" s="2531"/>
      <c r="I128" s="1729"/>
      <c r="J128" s="2531">
        <f>SUM(J119:J127)</f>
        <v>128600</v>
      </c>
      <c r="K128" s="2531"/>
      <c r="L128" s="2520"/>
      <c r="M128" s="2531">
        <f>SUM(M119:M127)</f>
        <v>0</v>
      </c>
      <c r="N128" s="2531"/>
      <c r="O128" s="1729"/>
      <c r="P128" s="2531">
        <f>SUM(P119:P127)</f>
        <v>0</v>
      </c>
      <c r="Q128" s="2531"/>
      <c r="R128" s="1729"/>
      <c r="S128" s="2531">
        <f>SUM(S119:S127)</f>
        <v>5000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3135</v>
      </c>
      <c r="F130" s="2558">
        <f>IF('Part I-Project Identification'!$O$28="","",G130/'Part I-Project Identification'!$O$28)</f>
        <v>139751.55279503105</v>
      </c>
      <c r="G130" s="2531">
        <f>'Part III-A-Uses of Funds'!G20</f>
        <v>900000</v>
      </c>
      <c r="H130" s="2531"/>
      <c r="I130" s="1729"/>
      <c r="J130" s="2520"/>
      <c r="K130" s="2531"/>
      <c r="L130" s="2520"/>
      <c r="M130" s="2520"/>
      <c r="N130" s="2531"/>
      <c r="O130" s="1729"/>
      <c r="P130" s="2520"/>
      <c r="Q130" s="2531"/>
      <c r="R130" s="1729"/>
      <c r="S130" s="2531">
        <f>'Part III-A-Uses of Funds'!S20</f>
        <v>900000</v>
      </c>
      <c r="T130" s="2531"/>
    </row>
    <row r="131" spans="1:20">
      <c r="A131" s="1729"/>
      <c r="B131" s="1729" t="s">
        <v>1053</v>
      </c>
      <c r="C131" s="1729"/>
      <c r="D131" s="1729"/>
      <c r="E131" s="1729"/>
      <c r="F131" s="1729"/>
      <c r="G131" s="2531">
        <f>'Part III-A-Uses of Funds'!G21</f>
        <v>5000</v>
      </c>
      <c r="H131" s="2531"/>
      <c r="I131" s="1729"/>
      <c r="J131" s="2520"/>
      <c r="K131" s="2531"/>
      <c r="L131" s="2520"/>
      <c r="M131" s="2520"/>
      <c r="N131" s="2531"/>
      <c r="O131" s="1729"/>
      <c r="P131" s="2520"/>
      <c r="Q131" s="2531"/>
      <c r="R131" s="1729"/>
      <c r="S131" s="2531">
        <f>'Part III-A-Uses of Funds'!S21</f>
        <v>5000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905000</v>
      </c>
      <c r="H134" s="2531"/>
      <c r="I134" s="1729"/>
      <c r="J134" s="2520"/>
      <c r="K134" s="2531"/>
      <c r="L134" s="2520"/>
      <c r="M134" s="2531">
        <f>SUM(M132:M133)</f>
        <v>0</v>
      </c>
      <c r="N134" s="2531"/>
      <c r="O134" s="1729"/>
      <c r="P134" s="2520"/>
      <c r="Q134" s="2531"/>
      <c r="R134" s="1729"/>
      <c r="S134" s="2531">
        <f>SUM(S130:S133)</f>
        <v>905000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302795.03105590062</v>
      </c>
      <c r="G136" s="2531">
        <f>'Part III-A-Uses of Funds'!G26</f>
        <v>1950000</v>
      </c>
      <c r="H136" s="2531"/>
      <c r="I136" s="1729"/>
      <c r="J136" s="2531">
        <f>'Part III-A-Uses of Funds'!J26</f>
        <v>1657500</v>
      </c>
      <c r="K136" s="2531"/>
      <c r="L136" s="2520"/>
      <c r="M136" s="2531">
        <f>'Part III-A-Uses of Funds'!M26</f>
        <v>0</v>
      </c>
      <c r="N136" s="2531"/>
      <c r="O136" s="1729"/>
      <c r="P136" s="2531">
        <f>'Part III-A-Uses of Funds'!P26</f>
        <v>0</v>
      </c>
      <c r="Q136" s="2531"/>
      <c r="R136" s="1729"/>
      <c r="S136" s="2531">
        <f>'Part III-A-Uses of Funds'!S26</f>
        <v>292500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1950000</v>
      </c>
      <c r="H138" s="2531"/>
      <c r="I138" s="1729"/>
      <c r="J138" s="2531">
        <f>SUM(J136:J137)</f>
        <v>1657500</v>
      </c>
      <c r="K138" s="2531"/>
      <c r="L138" s="2520"/>
      <c r="M138" s="2531">
        <f>M136</f>
        <v>0</v>
      </c>
      <c r="N138" s="2531"/>
      <c r="O138" s="1729"/>
      <c r="P138" s="2531">
        <f>P136</f>
        <v>0</v>
      </c>
      <c r="Q138" s="2531"/>
      <c r="R138" s="1729"/>
      <c r="S138" s="2531">
        <f>SUM(S136:S137)</f>
        <v>292500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12750000</v>
      </c>
      <c r="H140" s="2531"/>
      <c r="I140" s="1729"/>
      <c r="J140" s="2531">
        <f>'Part III-A-Uses of Funds'!J30</f>
        <v>12750000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3988</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3986</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3987</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12750000</v>
      </c>
      <c r="H146" s="2531"/>
      <c r="I146" s="1729"/>
      <c r="J146" s="2531">
        <f>SUM(J140:J145)</f>
        <v>12750000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882000</v>
      </c>
      <c r="F148" s="2564">
        <f>IF(($G$28+$G$36)=0,0,G148/($G$28+$G$36))</f>
        <v>0</v>
      </c>
      <c r="G148" s="2531">
        <f>'Part III-A-Uses of Funds'!G38</f>
        <v>882000</v>
      </c>
      <c r="H148" s="2531"/>
      <c r="I148" s="377"/>
      <c r="J148" s="2531">
        <f>'Part III-A-Uses of Funds'!J38</f>
        <v>882000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294000</v>
      </c>
      <c r="F149" s="2564">
        <f>IF(($G$28+$G$36)=0,0,G149/($G$28+$G$36))</f>
        <v>0</v>
      </c>
      <c r="G149" s="2531">
        <f>'Part III-A-Uses of Funds'!G39</f>
        <v>294000</v>
      </c>
      <c r="H149" s="2531"/>
      <c r="I149" s="377"/>
      <c r="J149" s="2531">
        <f>'Part III-A-Uses of Funds'!J39</f>
        <v>294000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882000</v>
      </c>
      <c r="F150" s="2564">
        <f>IF(($G$28+$G$36)=0,0,G150/($G$28+$G$36))</f>
        <v>0</v>
      </c>
      <c r="G150" s="2531">
        <f>'Part III-A-Uses of Funds'!G40</f>
        <v>882000</v>
      </c>
      <c r="H150" s="2531"/>
      <c r="I150" s="377"/>
      <c r="J150" s="2531">
        <f>'Part III-A-Uses of Funds'!J40</f>
        <v>882000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3140</v>
      </c>
      <c r="C151" s="1729"/>
      <c r="D151" s="2562">
        <f>SUM(D148:D150)</f>
        <v>0.14000000000000001</v>
      </c>
      <c r="E151" s="2566">
        <f>SUM(E148:E150)</f>
        <v>2058000</v>
      </c>
      <c r="F151" s="2555" t="s">
        <v>184</v>
      </c>
      <c r="G151" s="2531">
        <f>SUM(G148:G150)</f>
        <v>2058000</v>
      </c>
      <c r="H151" s="2531"/>
      <c r="I151" s="1729"/>
      <c r="J151" s="2531">
        <f>SUM(J148:J150)</f>
        <v>2058000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4385</v>
      </c>
      <c r="D153" s="1729"/>
      <c r="E153" s="2502"/>
      <c r="F153" s="2502"/>
      <c r="G153" s="2568">
        <f>G138+G146+G151</f>
        <v>16758000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5055</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4170</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5056</v>
      </c>
      <c r="C158" s="2570"/>
      <c r="D158" s="1729"/>
      <c r="E158" s="2501" t="s">
        <v>2471</v>
      </c>
      <c r="F158" s="2571">
        <f>C159/'Part V-Revenues &amp; Expenses'!$P$65</f>
        <v>232750</v>
      </c>
      <c r="G158" s="2572" t="s">
        <v>5057</v>
      </c>
      <c r="H158" s="1729"/>
      <c r="I158" s="1729"/>
      <c r="J158" s="2573">
        <f>C159/'Part V-Revenues &amp; Expenses'!$P$67</f>
        <v>232750</v>
      </c>
      <c r="K158" s="2573"/>
      <c r="L158" s="1729"/>
      <c r="M158" s="2574" t="s">
        <v>4371</v>
      </c>
      <c r="N158" s="2574"/>
      <c r="O158" s="1729"/>
      <c r="P158" s="2573">
        <f>C159/'Part V-Revenues &amp; Expenses'!$K$179</f>
        <v>219.62727058268459</v>
      </c>
      <c r="Q158" s="2573"/>
      <c r="R158" s="1729"/>
      <c r="S158" s="2575" t="s">
        <v>4373</v>
      </c>
      <c r="T158" s="2575"/>
    </row>
    <row r="159" spans="1:20" ht="13.5">
      <c r="A159" s="1729"/>
      <c r="B159" s="2576" t="s">
        <v>4384</v>
      </c>
      <c r="C159" s="2577">
        <f>G138+G146+G151+G156</f>
        <v>16758000</v>
      </c>
      <c r="D159" s="1729"/>
      <c r="E159" s="2501"/>
      <c r="F159" s="2571">
        <f>C159/'Part V-Revenues &amp; Expenses'!$P$170</f>
        <v>236.68822914606932</v>
      </c>
      <c r="G159" s="2575" t="s">
        <v>5058</v>
      </c>
      <c r="H159" s="1729"/>
      <c r="I159" s="1729"/>
      <c r="J159" s="2573">
        <f>C159/'Part V-Revenues &amp; Expenses'!$P$172</f>
        <v>236.68822914606932</v>
      </c>
      <c r="K159" s="2573"/>
      <c r="L159" s="1729"/>
      <c r="M159" s="2575" t="s">
        <v>4372</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5059</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4192</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837900</v>
      </c>
      <c r="F165" s="2539">
        <f>G165/C159</f>
        <v>0.05</v>
      </c>
      <c r="G165" s="2531">
        <f>'Part III-A-Uses of Funds'!G55</f>
        <v>837900</v>
      </c>
      <c r="H165" s="2531"/>
      <c r="I165" s="1729"/>
      <c r="J165" s="2531">
        <f>'Part III-A-Uses of Funds'!J55</f>
        <v>837900</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4193</v>
      </c>
      <c r="C167" s="2570"/>
      <c r="D167" s="1729"/>
      <c r="E167" s="2501" t="s">
        <v>4194</v>
      </c>
      <c r="F167" s="2571">
        <f>B168/'Part V-Revenues &amp; Expenses'!$P$65</f>
        <v>244387.5</v>
      </c>
      <c r="G167" s="2572" t="s">
        <v>5057</v>
      </c>
      <c r="H167" s="1729"/>
      <c r="I167" s="1729"/>
      <c r="J167" s="2573">
        <f>B168/'Part V-Revenues &amp; Expenses'!$P$67</f>
        <v>244387.5</v>
      </c>
      <c r="K167" s="2573"/>
      <c r="L167" s="1729"/>
      <c r="M167" s="2574" t="s">
        <v>4371</v>
      </c>
      <c r="N167" s="2574"/>
      <c r="O167" s="1729"/>
      <c r="P167" s="2573">
        <f>B168/'Part V-Revenues &amp; Expenses'!$K$179</f>
        <v>230.60863411181882</v>
      </c>
      <c r="Q167" s="2573"/>
      <c r="R167" s="1729"/>
      <c r="S167" s="2575" t="s">
        <v>4373</v>
      </c>
      <c r="T167" s="2575"/>
    </row>
    <row r="168" spans="1:20">
      <c r="A168" s="1729"/>
      <c r="B168" s="2577">
        <f>C159+G165</f>
        <v>17595900</v>
      </c>
      <c r="C168" s="2577"/>
      <c r="D168" s="1729"/>
      <c r="E168" s="2501"/>
      <c r="F168" s="2571">
        <f>B168/'Part V-Revenues &amp; Expenses'!$P$170</f>
        <v>248.52264060337279</v>
      </c>
      <c r="G168" s="2575" t="s">
        <v>5058</v>
      </c>
      <c r="H168" s="1729"/>
      <c r="I168" s="1729"/>
      <c r="J168" s="2573">
        <f>B168/'Part V-Revenues &amp; Expenses'!$P$172</f>
        <v>248.52264060337279</v>
      </c>
      <c r="K168" s="2573"/>
      <c r="L168" s="1729"/>
      <c r="M168" s="2575" t="s">
        <v>4372</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9000</v>
      </c>
      <c r="H172" s="2531"/>
      <c r="I172" s="1729"/>
      <c r="J172" s="2531">
        <f>'Part III-A-Uses of Funds'!J62</f>
        <v>9000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165000</v>
      </c>
      <c r="H173" s="2531"/>
      <c r="I173" s="1729"/>
      <c r="J173" s="2531">
        <f>'Part III-A-Uses of Funds'!J63</f>
        <v>165000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1174509</v>
      </c>
      <c r="H174" s="2531"/>
      <c r="I174" s="1729"/>
      <c r="J174" s="2531">
        <f>'Part III-A-Uses of Funds'!J64</f>
        <v>998333</v>
      </c>
      <c r="K174" s="2531"/>
      <c r="L174" s="2520"/>
      <c r="M174" s="2531">
        <f>'Part III-A-Uses of Funds'!M64</f>
        <v>0</v>
      </c>
      <c r="N174" s="2531"/>
      <c r="O174" s="1729"/>
      <c r="P174" s="2531">
        <f>'Part III-A-Uses of Funds'!P64</f>
        <v>0</v>
      </c>
      <c r="Q174" s="2531"/>
      <c r="R174" s="1729"/>
      <c r="S174" s="2531">
        <f>'Part III-A-Uses of Funds'!S64</f>
        <v>176176</v>
      </c>
      <c r="T174" s="2531"/>
    </row>
    <row r="175" spans="1:20">
      <c r="A175" s="1729"/>
      <c r="B175" s="1729" t="s">
        <v>2162</v>
      </c>
      <c r="C175" s="1729"/>
      <c r="D175" s="1729"/>
      <c r="E175" s="1729"/>
      <c r="F175" s="1729"/>
      <c r="G175" s="2531">
        <f>'Part III-A-Uses of Funds'!G65</f>
        <v>50000</v>
      </c>
      <c r="H175" s="2531"/>
      <c r="I175" s="1729"/>
      <c r="J175" s="2531">
        <f>'Part III-A-Uses of Funds'!J65</f>
        <v>50000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55000</v>
      </c>
      <c r="H176" s="2531"/>
      <c r="I176" s="1729"/>
      <c r="J176" s="2531">
        <f>'Part III-A-Uses of Funds'!J66</f>
        <v>55000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25000</v>
      </c>
      <c r="H177" s="2531"/>
      <c r="I177" s="1729"/>
      <c r="J177" s="2531">
        <f>'Part III-A-Uses of Funds'!J67</f>
        <v>25000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80000</v>
      </c>
      <c r="H178" s="2531"/>
      <c r="I178" s="1729"/>
      <c r="J178" s="2531">
        <f>'Part III-A-Uses of Funds'!J68</f>
        <v>80000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30000</v>
      </c>
      <c r="H179" s="2531"/>
      <c r="I179" s="1729"/>
      <c r="J179" s="2531">
        <f>'Part III-A-Uses of Funds'!J69</f>
        <v>30000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119060</v>
      </c>
      <c r="H180" s="2531"/>
      <c r="I180" s="377"/>
      <c r="J180" s="2531">
        <f>'Part III-A-Uses of Funds'!J70</f>
        <v>119060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4172</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4173</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1707569</v>
      </c>
      <c r="H183" s="2531"/>
      <c r="I183" s="1729"/>
      <c r="J183" s="2531">
        <f>SUM(J171:J182)</f>
        <v>1531393</v>
      </c>
      <c r="K183" s="2531"/>
      <c r="L183" s="2520"/>
      <c r="M183" s="2531">
        <f>SUM(M171:M182)</f>
        <v>0</v>
      </c>
      <c r="N183" s="2531"/>
      <c r="O183" s="1729"/>
      <c r="P183" s="2531">
        <f>SUM(P171:P182)</f>
        <v>0</v>
      </c>
      <c r="Q183" s="2531"/>
      <c r="R183" s="1729"/>
      <c r="S183" s="2531">
        <f>SUM(S171:S182)</f>
        <v>176176</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275000</v>
      </c>
      <c r="H185" s="2531"/>
      <c r="I185" s="1729"/>
      <c r="J185" s="2531">
        <f>'Part III-A-Uses of Funds'!J75</f>
        <v>275000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75000</v>
      </c>
      <c r="H186" s="2531"/>
      <c r="I186" s="1729"/>
      <c r="J186" s="2531">
        <f>'Part III-A-Uses of Funds'!J76</f>
        <v>75000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20000</v>
      </c>
      <c r="H188" s="2531"/>
      <c r="I188" s="1729"/>
      <c r="J188" s="2531">
        <f>'Part III-A-Uses of Funds'!J78</f>
        <v>20000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8100</v>
      </c>
      <c r="H189" s="2531"/>
      <c r="I189" s="1729"/>
      <c r="J189" s="2531">
        <f>'Part III-A-Uses of Funds'!J79</f>
        <v>8100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50000</v>
      </c>
      <c r="H190" s="2531"/>
      <c r="I190" s="1729"/>
      <c r="J190" s="2531">
        <f>'Part III-A-Uses of Funds'!J80</f>
        <v>50000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92500</v>
      </c>
      <c r="H191" s="2531"/>
      <c r="I191" s="1729"/>
      <c r="J191" s="2531">
        <f>'Part III-A-Uses of Funds'!J81</f>
        <v>92500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30000</v>
      </c>
      <c r="H192" s="2531"/>
      <c r="I192" s="1729"/>
      <c r="J192" s="2531">
        <f>'Part III-A-Uses of Funds'!J82</f>
        <v>30000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20000</v>
      </c>
      <c r="H193" s="2531"/>
      <c r="I193" s="1729"/>
      <c r="J193" s="2531">
        <f>'Part III-A-Uses of Funds'!J83</f>
        <v>0</v>
      </c>
      <c r="K193" s="2531"/>
      <c r="L193" s="2520"/>
      <c r="M193" s="2531">
        <f>'Part III-A-Uses of Funds'!M83</f>
        <v>0</v>
      </c>
      <c r="N193" s="2531"/>
      <c r="O193" s="1729"/>
      <c r="P193" s="2531">
        <f>'Part III-A-Uses of Funds'!P83</f>
        <v>0</v>
      </c>
      <c r="Q193" s="2531"/>
      <c r="R193" s="1729"/>
      <c r="S193" s="2531">
        <f>'Part III-A-Uses of Funds'!S83</f>
        <v>20000</v>
      </c>
      <c r="T193" s="2531"/>
    </row>
    <row r="194" spans="1:20">
      <c r="A194" s="1729"/>
      <c r="B194" s="1729" t="s">
        <v>1199</v>
      </c>
      <c r="C194" s="1729"/>
      <c r="D194" s="1729"/>
      <c r="E194" s="1729"/>
      <c r="F194" s="1729"/>
      <c r="G194" s="2531">
        <f>'Part III-A-Uses of Funds'!G84</f>
        <v>5000</v>
      </c>
      <c r="H194" s="2531"/>
      <c r="I194" s="1729"/>
      <c r="J194" s="2531">
        <f>'Part III-A-Uses of Funds'!J84</f>
        <v>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4174</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595600</v>
      </c>
      <c r="H196" s="2531"/>
      <c r="I196" s="1729"/>
      <c r="J196" s="2531">
        <f>SUM(J185:J195)</f>
        <v>575600</v>
      </c>
      <c r="K196" s="2531"/>
      <c r="L196" s="2520"/>
      <c r="M196" s="2531">
        <f>SUM(M185:M195)</f>
        <v>0</v>
      </c>
      <c r="N196" s="2531"/>
      <c r="O196" s="1729"/>
      <c r="P196" s="2531">
        <f>SUM(P185:P195)</f>
        <v>0</v>
      </c>
      <c r="Q196" s="2531"/>
      <c r="R196" s="1729"/>
      <c r="S196" s="2531">
        <f>SUM(S185:S195)</f>
        <v>20000</v>
      </c>
      <c r="T196" s="2531"/>
    </row>
    <row r="197" spans="1:20">
      <c r="A197" s="1729"/>
      <c r="B197" s="2501" t="s">
        <v>1191</v>
      </c>
      <c r="C197" s="1729"/>
      <c r="D197" s="2584" t="s">
        <v>3143</v>
      </c>
      <c r="E197" s="2585">
        <f>G202/'Part V-Revenues &amp; Expenses'!$P$67</f>
        <v>3611.6944444444443</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31304</v>
      </c>
      <c r="H198" s="2531"/>
      <c r="I198" s="1729"/>
      <c r="J198" s="2531">
        <f>'Part III-A-Uses of Funds'!J88</f>
        <v>31304</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135397</v>
      </c>
      <c r="H200" s="2531"/>
      <c r="I200" s="377"/>
      <c r="J200" s="2531">
        <f>'Part III-A-Uses of Funds'!J90</f>
        <v>135397</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93341</v>
      </c>
      <c r="H201" s="2531"/>
      <c r="I201" s="377"/>
      <c r="J201" s="2531">
        <f>'Part III-A-Uses of Funds'!J91</f>
        <v>93341</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260042</v>
      </c>
      <c r="H202" s="2531"/>
      <c r="I202" s="1729"/>
      <c r="J202" s="2531">
        <f>SUM(J198:J201)</f>
        <v>260042</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5060</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38414</v>
      </c>
      <c r="H207" s="2531"/>
      <c r="I207" s="1729"/>
      <c r="J207" s="2531"/>
      <c r="K207" s="2531"/>
      <c r="L207" s="2520"/>
      <c r="M207" s="2531"/>
      <c r="N207" s="2531"/>
      <c r="O207" s="1729"/>
      <c r="P207" s="2531"/>
      <c r="Q207" s="2531"/>
      <c r="R207" s="1729"/>
      <c r="S207" s="2531">
        <f>'Part III-A-Uses of Funds'!S97</f>
        <v>38414</v>
      </c>
      <c r="T207" s="2531"/>
    </row>
    <row r="208" spans="1:20">
      <c r="A208" s="1729"/>
      <c r="B208" s="1729" t="s">
        <v>1197</v>
      </c>
      <c r="C208" s="1729"/>
      <c r="D208" s="1729"/>
      <c r="E208" s="1729"/>
      <c r="F208" s="1729"/>
      <c r="G208" s="2531">
        <f>'Part III-A-Uses of Funds'!G98</f>
        <v>25000</v>
      </c>
      <c r="H208" s="2531"/>
      <c r="I208" s="1729"/>
      <c r="J208" s="2531"/>
      <c r="K208" s="2531"/>
      <c r="L208" s="2520"/>
      <c r="M208" s="2531"/>
      <c r="N208" s="2531"/>
      <c r="O208" s="1729"/>
      <c r="P208" s="2531"/>
      <c r="Q208" s="2531"/>
      <c r="R208" s="1729"/>
      <c r="S208" s="2531">
        <f>'Part III-A-Uses of Funds'!S98</f>
        <v>25000</v>
      </c>
      <c r="T208" s="2531"/>
    </row>
    <row r="209" spans="1:20">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10000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4175</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73414</v>
      </c>
      <c r="H213" s="2531"/>
      <c r="I213" s="1729"/>
      <c r="J213" s="2531"/>
      <c r="K213" s="2531"/>
      <c r="L213" s="2520"/>
      <c r="M213" s="2531"/>
      <c r="N213" s="2531"/>
      <c r="O213" s="1729"/>
      <c r="P213" s="2531"/>
      <c r="Q213" s="2531"/>
      <c r="R213" s="1729"/>
      <c r="S213" s="2531">
        <f>SUM(S207:S212)</f>
        <v>73414</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5007</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5008</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c r="A218" s="1729"/>
      <c r="B218" s="1729" t="s">
        <v>485</v>
      </c>
      <c r="C218" s="1729"/>
      <c r="D218" s="1729"/>
      <c r="E218" s="2589">
        <f ca="1">ROUNDUP('DCA Underwriting Assumptions'!$Q$70*J301,0)</f>
        <v>104000</v>
      </c>
      <c r="F218" s="2589"/>
      <c r="G218" s="2531">
        <f>'Part III-A-Uses of Funds'!G108</f>
        <v>104000</v>
      </c>
      <c r="H218" s="2531"/>
      <c r="I218" s="1729"/>
      <c r="J218" s="2590" t="str">
        <f ca="1">IF(E218&gt;G218,"WARNING!  LIHTC Allocation Fee proposed is below minimum required.","")</f>
        <v/>
      </c>
      <c r="K218" s="2520"/>
      <c r="L218" s="2520"/>
      <c r="M218" s="2520"/>
      <c r="N218" s="2520"/>
      <c r="O218" s="1729"/>
      <c r="P218" s="2520"/>
      <c r="Q218" s="2520"/>
      <c r="R218" s="1729"/>
      <c r="S218" s="2531">
        <f>'Part III-A-Uses of Funds'!S108</f>
        <v>104000</v>
      </c>
      <c r="T218" s="2531"/>
    </row>
    <row r="219" spans="1:20">
      <c r="A219" s="1729"/>
      <c r="B219" s="1729" t="s">
        <v>701</v>
      </c>
      <c r="C219" s="1729"/>
      <c r="D219" s="1729"/>
      <c r="E219" s="2589">
        <f>AF221+AF225</f>
        <v>0</v>
      </c>
      <c r="F219" s="2589"/>
      <c r="G219" s="2531">
        <f>'Part III-A-Uses of Funds'!G109</f>
        <v>57600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57600</v>
      </c>
      <c r="T219" s="2531"/>
    </row>
    <row r="220" spans="1:20">
      <c r="A220" s="1729"/>
      <c r="B220" s="1729" t="s">
        <v>3360</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4737</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4171</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4171</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179600</v>
      </c>
      <c r="H224" s="2531"/>
      <c r="I224" s="1729"/>
      <c r="J224" s="2520"/>
      <c r="K224" s="2520"/>
      <c r="L224" s="2520"/>
      <c r="M224" s="2520"/>
      <c r="N224" s="2520"/>
      <c r="O224" s="1729"/>
      <c r="P224" s="2520"/>
      <c r="Q224" s="2520"/>
      <c r="R224" s="1729"/>
      <c r="S224" s="2531">
        <f>SUM(S215:S223)</f>
        <v>179600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25000</v>
      </c>
      <c r="H226" s="2531"/>
      <c r="I226" s="1729"/>
      <c r="J226" s="2531"/>
      <c r="K226" s="2531"/>
      <c r="L226" s="2520"/>
      <c r="M226" s="2531"/>
      <c r="N226" s="2531"/>
      <c r="O226" s="1729"/>
      <c r="P226" s="2531"/>
      <c r="Q226" s="2531"/>
      <c r="R226" s="1729"/>
      <c r="S226" s="2531">
        <f>'Part III-A-Uses of Funds'!S116</f>
        <v>25000</v>
      </c>
      <c r="T226" s="2531"/>
    </row>
    <row r="227" spans="1:20">
      <c r="A227" s="1729"/>
      <c r="B227" s="1729" t="s">
        <v>268</v>
      </c>
      <c r="C227" s="1729"/>
      <c r="D227" s="1729"/>
      <c r="E227" s="1729"/>
      <c r="F227" s="1729"/>
      <c r="G227" s="2531">
        <f>'Part III-A-Uses of Funds'!G117</f>
        <v>30000</v>
      </c>
      <c r="H227" s="2531"/>
      <c r="I227" s="1729"/>
      <c r="J227" s="2531"/>
      <c r="K227" s="2531"/>
      <c r="L227" s="2520"/>
      <c r="M227" s="2531"/>
      <c r="N227" s="2531"/>
      <c r="O227" s="1729"/>
      <c r="P227" s="2531"/>
      <c r="Q227" s="2531"/>
      <c r="R227" s="1729"/>
      <c r="S227" s="2531">
        <f>'Part III-A-Uses of Funds'!S117</f>
        <v>30000</v>
      </c>
      <c r="T227" s="2531"/>
    </row>
    <row r="228" spans="1:20">
      <c r="A228" s="1729"/>
      <c r="B228" s="1729" t="s">
        <v>2194</v>
      </c>
      <c r="C228" s="1729"/>
      <c r="D228" s="1729"/>
      <c r="E228" s="1729"/>
      <c r="F228" s="1729"/>
      <c r="G228" s="2531">
        <f>'Part III-A-Uses of Funds'!G118</f>
        <v>50000</v>
      </c>
      <c r="H228" s="2531"/>
      <c r="I228" s="1729"/>
      <c r="J228" s="2531"/>
      <c r="K228" s="2531"/>
      <c r="L228" s="2520"/>
      <c r="M228" s="2531"/>
      <c r="N228" s="2531"/>
      <c r="O228" s="1729"/>
      <c r="P228" s="2531"/>
      <c r="Q228" s="2531"/>
      <c r="R228" s="1729"/>
      <c r="S228" s="2531">
        <f>'Part III-A-Uses of Funds'!S118</f>
        <v>50000</v>
      </c>
      <c r="T228" s="2531"/>
    </row>
    <row r="229" spans="1:20" ht="15.95" customHeight="1">
      <c r="A229" s="2554" t="str">
        <f>IF(AND(G229&gt;0,OR(C229="",C229="&lt;Enter detailed description here; use Comments section if needed&gt;")),"X","")</f>
        <v/>
      </c>
      <c r="B229" s="2507" t="s">
        <v>4171</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105000</v>
      </c>
      <c r="H230" s="2531"/>
      <c r="I230" s="1729"/>
      <c r="J230" s="2531"/>
      <c r="K230" s="2531"/>
      <c r="L230" s="2520"/>
      <c r="M230" s="2531"/>
      <c r="N230" s="2531"/>
      <c r="O230" s="1729"/>
      <c r="P230" s="2531"/>
      <c r="Q230" s="2531"/>
      <c r="R230" s="1729"/>
      <c r="S230" s="2531">
        <f>SUM(S226:S229)</f>
        <v>105000</v>
      </c>
      <c r="T230" s="2531"/>
    </row>
    <row r="231" spans="1:20" ht="13.5">
      <c r="A231" s="1729"/>
      <c r="B231" s="2501" t="s">
        <v>269</v>
      </c>
      <c r="C231" s="1729"/>
      <c r="D231" s="1729"/>
      <c r="E231" s="2544" t="s">
        <v>3799</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3322</v>
      </c>
      <c r="C233" s="1729"/>
      <c r="D233" s="1729"/>
      <c r="E233" s="1729"/>
      <c r="F233" s="2593">
        <f>'Part III-A-Uses of Funds'!F123</f>
        <v>0</v>
      </c>
      <c r="G233" s="2594" t="s">
        <v>4614</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1848000</v>
      </c>
      <c r="H236" s="2531"/>
      <c r="I236" s="1729"/>
      <c r="J236" s="2531">
        <f>'Part III-A-Uses of Funds'!J126</f>
        <v>1848000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3795</v>
      </c>
      <c r="E237" s="2597" t="str">
        <f>IF(AF232+AF235=0,"Fill in Rent Chart!",IF(F231="9%",AH232,IF(F231="4%",AH235,"Select App Type!")))</f>
        <v>Fill in Rent Chart!</v>
      </c>
      <c r="F237" s="2555" t="s">
        <v>184</v>
      </c>
      <c r="G237" s="2531">
        <f>SUM(G232:G236)</f>
        <v>1848000</v>
      </c>
      <c r="H237" s="2531"/>
      <c r="I237" s="1729"/>
      <c r="J237" s="2531">
        <f>SUM(J232:J236)</f>
        <v>1848000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35000</v>
      </c>
      <c r="H239" s="2531"/>
      <c r="I239" s="1729"/>
      <c r="J239" s="2588"/>
      <c r="K239" s="2588"/>
      <c r="L239" s="2588"/>
      <c r="M239" s="2588"/>
      <c r="N239" s="2588"/>
      <c r="O239" s="1729"/>
      <c r="P239" s="2588"/>
      <c r="Q239" s="2588"/>
      <c r="R239" s="1729"/>
      <c r="S239" s="2531">
        <f>'Part III-A-Uses of Funds'!S129</f>
        <v>35000</v>
      </c>
      <c r="T239" s="2531"/>
    </row>
    <row r="240" spans="1:20">
      <c r="A240" s="1729"/>
      <c r="B240" s="1729" t="s">
        <v>1434</v>
      </c>
      <c r="C240" s="1729"/>
      <c r="D240" s="1729"/>
      <c r="E240" s="1729"/>
      <c r="F240" s="2598">
        <f>+'Part V-Revenues &amp; Expenses'!$Q$232*('DCA Underwriting Assumptions'!$Q$104/12)</f>
        <v>124501</v>
      </c>
      <c r="G240" s="2531">
        <f>'Part III-A-Uses of Funds'!G130</f>
        <v>126082</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126082</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406028.94972609874</v>
      </c>
      <c r="G241" s="2531">
        <f>'Part III-A-Uses of Funds'!G131</f>
        <v>409078</v>
      </c>
      <c r="H241" s="2531"/>
      <c r="I241" s="1729"/>
      <c r="J241" s="2599" t="str">
        <f>IF(E241&gt;G241,"WARNING! ODR proposed is below minimum - add comment.","")</f>
        <v/>
      </c>
      <c r="K241" s="2588"/>
      <c r="L241" s="2588"/>
      <c r="M241" s="2588"/>
      <c r="N241" s="2588"/>
      <c r="O241" s="1729"/>
      <c r="P241" s="2588"/>
      <c r="Q241" s="2588"/>
      <c r="R241" s="1729"/>
      <c r="S241" s="2531">
        <f>'Part III-A-Uses of Funds'!S131</f>
        <v>409078</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2083.3333333333335</v>
      </c>
      <c r="G243" s="2531">
        <f>'Part III-A-Uses of Funds'!G133</f>
        <v>150000</v>
      </c>
      <c r="H243" s="2531"/>
      <c r="I243" s="1729"/>
      <c r="J243" s="2531">
        <f>'Part III-A-Uses of Funds'!J133</f>
        <v>150000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4171</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720160</v>
      </c>
      <c r="H245" s="2531"/>
      <c r="I245" s="1729"/>
      <c r="J245" s="2531">
        <f>SUM(J243:J244)</f>
        <v>150000</v>
      </c>
      <c r="K245" s="2531"/>
      <c r="L245" s="2520"/>
      <c r="M245" s="2531">
        <f>SUM(M243:M244)</f>
        <v>0</v>
      </c>
      <c r="N245" s="2531"/>
      <c r="O245" s="1729"/>
      <c r="P245" s="2531">
        <f>SUM(P243:P244)</f>
        <v>0</v>
      </c>
      <c r="Q245" s="2531"/>
      <c r="R245" s="1729"/>
      <c r="S245" s="2531">
        <f>SUM(S239:S244)</f>
        <v>570160</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5060</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4171</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5061</v>
      </c>
      <c r="C256" s="1729"/>
      <c r="D256" s="1729"/>
      <c r="E256" s="2557"/>
      <c r="F256" s="2605"/>
      <c r="G256" s="2553">
        <f>G128+G134+G138+G146+G151+G156+G165+G183+G196+G202+G213+G224+G230+G237+G245+G254</f>
        <v>24123885</v>
      </c>
      <c r="H256" s="2553"/>
      <c r="I256" s="1729"/>
      <c r="J256" s="2553">
        <f>J128+J134+J138+J146+J151+J156+J165+J183+J196+J202+J213+J224+J230+J237+J245+J254</f>
        <v>21797035</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2326850</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5062</v>
      </c>
      <c r="C258" s="2570"/>
      <c r="D258" s="2607">
        <f>IF('Part V-Revenues &amp; Expenses'!$P$67=0,0,G256/'Part V-Revenues &amp; Expenses'!$P$67)</f>
        <v>335053.95833333331</v>
      </c>
      <c r="E258" s="2607"/>
      <c r="F258" s="2587" t="s">
        <v>2480</v>
      </c>
      <c r="G258" s="2607">
        <f>IF('Part V-Revenues &amp; Expenses'!$K$179=0,0,G256/'Part V-Revenues &amp; Expenses'!$K$179)</f>
        <v>316.16320673114728</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21797035</v>
      </c>
      <c r="K272" s="2536"/>
      <c r="L272" s="1729"/>
      <c r="M272" s="2536">
        <f>M256</f>
        <v>0</v>
      </c>
      <c r="N272" s="2536"/>
      <c r="O272" s="1729"/>
      <c r="P272" s="2536">
        <f>P256</f>
        <v>0</v>
      </c>
      <c r="Q272" s="2536"/>
      <c r="R272" s="2612" t="s">
        <v>4749</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21797035</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28336145.5</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0.80555555555555558</v>
      </c>
      <c r="K277" s="2614"/>
      <c r="L277" s="1729"/>
      <c r="M277" s="2614">
        <f>MIN('Part V-Revenues &amp; Expenses'!$P$63/'Part V-Revenues &amp; Expenses'!$P$65,'Part V-Revenues &amp; Expenses'!$P$168/'Part V-Revenues &amp; Expenses'!$P$170)</f>
        <v>0.80555555555555558</v>
      </c>
      <c r="N277" s="2614"/>
      <c r="O277" s="1729"/>
      <c r="P277" s="2614">
        <f>MIN('Part V-Revenues &amp; Expenses'!$P$63/'Part V-Revenues &amp; Expenses'!$P$65,'Part V-Revenues &amp; Expenses'!$P$168/'Part V-Revenues &amp; Expenses'!$P$170)</f>
        <v>0.80555555555555558</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22826339.430555556</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2054370.5487500001</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2054370</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5063</v>
      </c>
      <c r="C286" s="1729"/>
      <c r="D286" s="1729"/>
      <c r="E286" s="1729"/>
      <c r="F286" s="1729"/>
      <c r="G286" s="1729"/>
      <c r="H286" s="1729"/>
      <c r="I286" s="1729"/>
      <c r="J286" s="2536">
        <f>G256</f>
        <v>24123885</v>
      </c>
      <c r="K286" s="2536"/>
      <c r="L286" s="2536"/>
      <c r="M286" s="1729"/>
      <c r="N286" s="2612" t="s">
        <v>4608</v>
      </c>
      <c r="O286" s="2612"/>
      <c r="P286" s="2612"/>
      <c r="Q286" s="2612"/>
      <c r="R286" s="1729"/>
      <c r="S286" s="2507" t="s">
        <v>3102</v>
      </c>
      <c r="T286" s="2507"/>
    </row>
    <row r="287" spans="1:20">
      <c r="A287" s="1729"/>
      <c r="B287" s="1729" t="s">
        <v>252</v>
      </c>
      <c r="C287" s="1729"/>
      <c r="D287" s="1729"/>
      <c r="E287" s="1729"/>
      <c r="F287" s="1729"/>
      <c r="G287" s="1729"/>
      <c r="H287" s="1729"/>
      <c r="I287" s="1729"/>
      <c r="J287" s="2536">
        <f ca="1">'Part II-Sources of Funds'!$I$60-'Part II-Sources of Funds'!$I$44-'Part II-Sources of Funds'!$I$45-'Part II-Sources of Funds'!$I$51-'Part II-Sources of Funds'!$I$52</f>
        <v>5481374.9999999991</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 ca="1">+J286-J287</f>
        <v>18642510</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 ca="1">J288/10</f>
        <v>1864251</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5064</v>
      </c>
      <c r="C292" s="1729"/>
      <c r="D292" s="1729"/>
      <c r="E292" s="1729"/>
      <c r="F292" s="1729"/>
      <c r="G292" s="1729"/>
      <c r="H292" s="1729"/>
      <c r="I292" s="1729"/>
      <c r="J292" s="2621">
        <f>N292+Q292</f>
        <v>1.4300000000000002</v>
      </c>
      <c r="K292" s="2621"/>
      <c r="L292" s="2621"/>
      <c r="M292" s="1534" t="s">
        <v>1210</v>
      </c>
      <c r="N292" s="2622">
        <f>'Part III-A-Uses of Funds'!N182</f>
        <v>0.88</v>
      </c>
      <c r="O292" s="2622"/>
      <c r="P292" s="1534" t="s">
        <v>569</v>
      </c>
      <c r="Q292" s="2622">
        <f>'Part III-A-Uses of Funds'!Q182</f>
        <v>0.55000000000000004</v>
      </c>
      <c r="R292" s="2622"/>
      <c r="S292" s="1729"/>
      <c r="T292" s="1729"/>
    </row>
    <row r="293" spans="1:20">
      <c r="A293" s="1729"/>
      <c r="B293" s="2501" t="s">
        <v>1338</v>
      </c>
      <c r="C293" s="1729"/>
      <c r="D293" s="1729"/>
      <c r="E293" s="1729"/>
      <c r="F293" s="1729"/>
      <c r="G293" s="1729"/>
      <c r="H293" s="1729"/>
      <c r="I293" s="1729"/>
      <c r="J293" s="2535">
        <f ca="1">ROUNDDOWN(IF(J292=0,"",J290/J292),0)</f>
        <v>1303672</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3807</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5065</v>
      </c>
      <c r="C297" s="1729"/>
      <c r="D297" s="1729"/>
      <c r="E297" s="1729"/>
      <c r="F297" s="1729"/>
      <c r="G297" s="1729"/>
      <c r="H297" s="1729"/>
      <c r="I297" s="1729"/>
      <c r="J297" s="2535">
        <f ca="1">'Part III-A-Uses of Funds'!J187</f>
        <v>1303672</v>
      </c>
      <c r="K297" s="2535"/>
      <c r="L297" s="2535"/>
      <c r="M297" s="1729"/>
      <c r="N297" s="1729"/>
      <c r="O297" s="1729"/>
      <c r="P297" s="1729"/>
      <c r="Q297" s="2507" t="s">
        <v>4143</v>
      </c>
      <c r="R297" s="2507"/>
      <c r="S297" s="2507" t="str">
        <f>'Part VIII Scoring Criteria'!$J$12</f>
        <v>Atlanta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5066</v>
      </c>
      <c r="C299" s="1729"/>
      <c r="D299" s="1729"/>
      <c r="E299" s="1729"/>
      <c r="F299" s="1729"/>
      <c r="G299" s="1729"/>
      <c r="H299" s="1729"/>
      <c r="I299" s="1729"/>
      <c r="J299" s="2535">
        <f>'Part III-A-Uses of Funds'!J189</f>
        <v>1300000</v>
      </c>
      <c r="K299" s="2535"/>
      <c r="L299" s="2535"/>
      <c r="M299" s="2625" t="str">
        <f ca="1">IF(J297=0,"",IF(J299&gt;J297,"Request can't exceed Maximum - REVISE (Try Round Down)!",""))</f>
        <v/>
      </c>
      <c r="N299" s="2625"/>
      <c r="O299" s="2625"/>
      <c r="P299" s="2625"/>
      <c r="Q299" s="2594" t="s">
        <v>4437</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5067</v>
      </c>
      <c r="C301" s="1729"/>
      <c r="D301" s="377"/>
      <c r="E301" s="377"/>
      <c r="F301" s="2508"/>
      <c r="G301" s="1729"/>
      <c r="H301" s="1729"/>
      <c r="I301" s="1729"/>
      <c r="J301" s="2535">
        <f ca="1">IF(J299="",0,+MIN(J297,J299))</f>
        <v>1300000</v>
      </c>
      <c r="K301" s="2535"/>
      <c r="L301" s="2535"/>
      <c r="M301" s="2625"/>
      <c r="N301" s="2625"/>
      <c r="O301" s="2625"/>
      <c r="P301" s="2625"/>
      <c r="Q301" s="402" t="s">
        <v>3799</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Construction hard cost estimates were based on the developer’s extensive experience building communities with a similar tenancy, unit mix and amenity package in similar areas within Georgia.
Commitments for all debt and equity are found in folder "08Readiness". Gwinnett County ARPA commitment letter can be found in folder "05FavorFinan" and "08Readiness".
The amount shown above for acquisition cost is a capital lease payment ($12,500 / unit) and is included in the option to ground lease in folder "08Readiness".
Local Government Fees - Please note that the Water Tap Fee shown in the budget ($135,397 total) includes the County's Water Tap Fee ($93,342) plus an Irrigation Fee ($42,055), as shown in letter "Water and Sewer Impact Fees", included in folder "08Readiness". The Sewer Fee ($93,341) is also shown in letter "Water and Sewer Impact Fees", also included in folder "08Readiness".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Wesley Square  -  Norcross  -  Gwinnett,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5068</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Asbestos Remediation</v>
      </c>
      <c r="B315" s="2636"/>
      <c r="C315" s="2636"/>
      <c r="D315" s="2636"/>
      <c r="F315" s="2637" t="str">
        <f>'Part III-B-Other Items'!F9</f>
        <v>As indicated in the Phase I ESA, the partnership will pay for remediation and removal of asbestos from 2 existing vacant structures on the site.</v>
      </c>
      <c r="G315" s="2635"/>
      <c r="H315" s="2637" t="str">
        <f>'Part III-B-Other Items'!H9</f>
        <v>As this is a cost related to demolition and preparation of the land for development, these costs are omitted from the eligible basis.</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5000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5069</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5070</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5071</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Wesley Square,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4628</v>
      </c>
      <c r="I393" s="1657" t="str">
        <f>'Part IV-Utility Allowances'!I3</f>
        <v>North</v>
      </c>
      <c r="J393" s="1657"/>
    </row>
    <row r="395" spans="1:13">
      <c r="A395" s="2645" t="s">
        <v>5072</v>
      </c>
    </row>
    <row r="397" spans="1:13">
      <c r="A397" s="360" t="s">
        <v>572</v>
      </c>
      <c r="B397" s="360" t="s">
        <v>2054</v>
      </c>
      <c r="F397" s="358" t="s">
        <v>2311</v>
      </c>
      <c r="G397" s="358"/>
      <c r="H397" s="358"/>
      <c r="I397" s="358" t="str">
        <f>'Part IV-Utility Allowances'!I7</f>
        <v>DCA - Georgia North Region</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18</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11</v>
      </c>
      <c r="L403" s="1804">
        <f>'Part IV-Utility Allowances'!L13</f>
        <v>13</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22</v>
      </c>
      <c r="L404" s="1804">
        <f>'Part IV-Utility Allowances'!L14</f>
        <v>27</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7</v>
      </c>
      <c r="K405" s="1804">
        <f>'Part IV-Utility Allowances'!K15</f>
        <v>11</v>
      </c>
      <c r="L405" s="1804">
        <f>'Part IV-Utility Allowances'!L15</f>
        <v>14</v>
      </c>
      <c r="M405" s="1804">
        <f>'Part IV-Utility Allowances'!M15</f>
        <v>0</v>
      </c>
    </row>
    <row r="406" spans="1:13">
      <c r="B406" s="358" t="s">
        <v>3184</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25</v>
      </c>
      <c r="K408" s="1804">
        <f>'Part IV-Utility Allowances'!K18</f>
        <v>32</v>
      </c>
      <c r="L408" s="1804">
        <f>'Part IV-Utility Allowances'!L18</f>
        <v>39</v>
      </c>
      <c r="M408" s="1804">
        <f>'Part IV-Utility Allowances'!M18</f>
        <v>0</v>
      </c>
    </row>
    <row r="409" spans="1:13">
      <c r="B409" s="358" t="s">
        <v>1290</v>
      </c>
      <c r="C409" s="358"/>
      <c r="D409" s="358" t="s">
        <v>5031</v>
      </c>
      <c r="E409" s="1804" t="str">
        <f>'Part IV-Utility Allowances'!E19</f>
        <v>Yes</v>
      </c>
      <c r="F409" s="2647" t="str">
        <f>'Part IV-Utility Allowances'!F19</f>
        <v>X</v>
      </c>
      <c r="G409" s="2647">
        <f>'Part IV-Utility Allowances'!G19</f>
        <v>0</v>
      </c>
      <c r="I409" s="1804">
        <f>'Part IV-Utility Allowances'!I19</f>
        <v>0</v>
      </c>
      <c r="J409" s="1804">
        <f>'Part IV-Utility Allowances'!J19</f>
        <v>51</v>
      </c>
      <c r="K409" s="1804">
        <f>'Part IV-Utility Allowances'!K19</f>
        <v>59</v>
      </c>
      <c r="L409" s="1804">
        <f>'Part IV-Utility Allowances'!L19</f>
        <v>73</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118</v>
      </c>
      <c r="K412" s="2647">
        <f>IF(SUM(K402:K411)=0,0,IF(OR($D402="&lt;&lt;Select Fuel &gt;&gt;",$D403="&lt;&lt;Select Fuel &gt;&gt;",$D404="&lt;&lt;Select Fuel &gt;&gt;"),"Select Fuel",IF($E409="&lt;Select&gt;","Submeter?",SUM(K402:K411))))</f>
        <v>148</v>
      </c>
      <c r="L412" s="2647">
        <f>IF(SUM(L402:L411)=0,0,IF(OR($D402="&lt;&lt;Select Fuel &gt;&gt;",$D403="&lt;&lt;Select Fuel &gt;&gt;",$D404="&lt;&lt;Select Fuel &gt;&gt;"),"Select Fuel",IF($E409="&lt;Select&gt;","Submeter?",SUM(L402:L411))))</f>
        <v>184</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5031</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5032</v>
      </c>
      <c r="F431" s="1658"/>
      <c r="G431" s="1658"/>
      <c r="I431" s="1795"/>
      <c r="J431" s="1795"/>
      <c r="K431" s="1795"/>
      <c r="L431" s="1795"/>
      <c r="M431" s="1795"/>
    </row>
    <row r="432" spans="1:13">
      <c r="A432" s="360"/>
      <c r="B432" s="360" t="s">
        <v>529</v>
      </c>
    </row>
    <row r="433" spans="1:358">
      <c r="B433" s="2648" t="str">
        <f>'Part IV-Utility Allowances'!B43</f>
        <v xml:space="preserve">All units are submetered as the project is new construction. Utility allowances are per the DCA - Georgia North Region (effective January 1, 2024). Applicable utility allowance schedules are provided as additional documentation in folders "52AddlDoc". The allowances included are consistent with the proposed building types. </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Wesley Square,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Wesley Square,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3993</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5073</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5074</v>
      </c>
      <c r="D444" s="2518"/>
      <c r="E444" s="2518"/>
      <c r="F444" s="2518"/>
      <c r="G444" s="1804" t="str">
        <f>'Part V-Revenues &amp; Expenses'!G6</f>
        <v>&lt;Select&gt;</v>
      </c>
      <c r="H444" s="2654" t="s">
        <v>3996</v>
      </c>
      <c r="I444" s="2654"/>
      <c r="J444" s="2654"/>
      <c r="K444" s="2655" t="s">
        <v>3050</v>
      </c>
      <c r="L444" s="2656" t="str">
        <f>'Part I-Project Identification'!$A$6</f>
        <v>2024 May 7</v>
      </c>
      <c r="M444" s="2656"/>
      <c r="N444" s="2656"/>
      <c r="O444" s="2657" t="s">
        <v>5075</v>
      </c>
      <c r="P444" s="2658">
        <f>'Part V-Revenues &amp; Expenses'!P6</f>
        <v>106600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4176</v>
      </c>
      <c r="MQ444" s="359" t="s">
        <v>4177</v>
      </c>
      <c r="MR444" s="359" t="s">
        <v>4178</v>
      </c>
      <c r="MS444" s="359" t="s">
        <v>4179</v>
      </c>
      <c r="MT444" s="359" t="s">
        <v>4180</v>
      </c>
    </row>
    <row r="445" spans="1:358" s="358" customFormat="1" ht="12.6" customHeight="1">
      <c r="A445" s="2653"/>
      <c r="B445" s="2659" t="s">
        <v>3995</v>
      </c>
      <c r="E445" s="1657"/>
      <c r="G445" s="1804" t="str">
        <f>'Part V-Revenues &amp; Expenses'!G7</f>
        <v>No</v>
      </c>
      <c r="I445" s="1546" t="s">
        <v>3938</v>
      </c>
      <c r="J445" s="2655" t="s">
        <v>741</v>
      </c>
      <c r="K445" s="2655" t="s">
        <v>3097</v>
      </c>
      <c r="L445" s="2656"/>
      <c r="M445" s="2656"/>
      <c r="N445" s="2656"/>
      <c r="O445" s="2660" t="s">
        <v>3975</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4375</v>
      </c>
      <c r="O446" s="2507" t="str">
        <f>'Part V-Revenues &amp; Expenses'!O8</f>
        <v xml:space="preserve">Novogradac Rent &amp; Income Calculator </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3991</v>
      </c>
      <c r="H447" s="2652" t="s">
        <v>3216</v>
      </c>
      <c r="I447" s="1546"/>
      <c r="J447" s="2663" t="s">
        <v>3985</v>
      </c>
      <c r="K447" s="2655" t="s">
        <v>5076</v>
      </c>
      <c r="L447" s="1546" t="s">
        <v>139</v>
      </c>
      <c r="M447" s="1546"/>
      <c r="N447" s="2655" t="s">
        <v>2178</v>
      </c>
      <c r="O447" s="2655" t="s">
        <v>4378</v>
      </c>
      <c r="P447" s="2651" t="s">
        <v>5077</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4181</v>
      </c>
      <c r="IZ447" s="359" t="s">
        <v>4181</v>
      </c>
      <c r="JA447" s="359" t="s">
        <v>4181</v>
      </c>
      <c r="JB447" s="359" t="s">
        <v>4181</v>
      </c>
      <c r="JC447" s="359" t="s">
        <v>4181</v>
      </c>
      <c r="JD447" s="359" t="s">
        <v>4182</v>
      </c>
      <c r="JE447" s="359" t="s">
        <v>4182</v>
      </c>
      <c r="JF447" s="359" t="s">
        <v>4182</v>
      </c>
      <c r="JG447" s="359" t="s">
        <v>4182</v>
      </c>
      <c r="JH447" s="359" t="s">
        <v>4182</v>
      </c>
      <c r="JI447" s="359" t="s">
        <v>4184</v>
      </c>
      <c r="JJ447" s="359" t="s">
        <v>4184</v>
      </c>
      <c r="JK447" s="359" t="s">
        <v>4184</v>
      </c>
      <c r="JL447" s="359" t="s">
        <v>4184</v>
      </c>
      <c r="JM447" s="359" t="s">
        <v>4184</v>
      </c>
      <c r="JN447" s="359" t="s">
        <v>4185</v>
      </c>
      <c r="JO447" s="359" t="s">
        <v>4185</v>
      </c>
      <c r="JP447" s="359" t="s">
        <v>4185</v>
      </c>
      <c r="JQ447" s="359" t="s">
        <v>4185</v>
      </c>
      <c r="JR447" s="359" t="s">
        <v>4185</v>
      </c>
      <c r="JS447" s="359" t="s">
        <v>4186</v>
      </c>
      <c r="JT447" s="359" t="s">
        <v>4186</v>
      </c>
      <c r="JU447" s="359" t="s">
        <v>4186</v>
      </c>
      <c r="JV447" s="359" t="s">
        <v>4186</v>
      </c>
      <c r="JW447" s="359" t="s">
        <v>4186</v>
      </c>
      <c r="JX447" s="359" t="s">
        <v>4379</v>
      </c>
      <c r="JY447" s="359" t="s">
        <v>4379</v>
      </c>
      <c r="JZ447" s="359" t="s">
        <v>4379</v>
      </c>
      <c r="KA447" s="359" t="s">
        <v>4379</v>
      </c>
      <c r="KB447" s="359" t="s">
        <v>4379</v>
      </c>
      <c r="KC447" s="359" t="s">
        <v>5078</v>
      </c>
      <c r="KD447" s="359" t="s">
        <v>5078</v>
      </c>
      <c r="KE447" s="359" t="s">
        <v>5078</v>
      </c>
      <c r="KF447" s="359" t="s">
        <v>5078</v>
      </c>
      <c r="KG447" s="359" t="s">
        <v>5078</v>
      </c>
      <c r="KH447" s="359" t="s">
        <v>4542</v>
      </c>
      <c r="KI447" s="359" t="s">
        <v>4542</v>
      </c>
      <c r="KJ447" s="359" t="s">
        <v>4542</v>
      </c>
      <c r="KK447" s="359" t="s">
        <v>4542</v>
      </c>
      <c r="KL447" s="359" t="s">
        <v>4542</v>
      </c>
      <c r="KM447" s="359" t="s">
        <v>4188</v>
      </c>
      <c r="KN447" s="359" t="s">
        <v>4188</v>
      </c>
      <c r="KO447" s="359" t="s">
        <v>4188</v>
      </c>
      <c r="KP447" s="359" t="s">
        <v>4188</v>
      </c>
      <c r="KQ447" s="359" t="s">
        <v>4188</v>
      </c>
      <c r="KR447" s="359" t="s">
        <v>4380</v>
      </c>
      <c r="KS447" s="359" t="s">
        <v>4380</v>
      </c>
      <c r="KT447" s="359" t="s">
        <v>4380</v>
      </c>
      <c r="KU447" s="359" t="s">
        <v>4380</v>
      </c>
      <c r="KV447" s="359" t="s">
        <v>4380</v>
      </c>
      <c r="KW447" s="359" t="s">
        <v>4543</v>
      </c>
      <c r="KX447" s="359" t="s">
        <v>4543</v>
      </c>
      <c r="KY447" s="359" t="s">
        <v>4543</v>
      </c>
      <c r="KZ447" s="359" t="s">
        <v>4543</v>
      </c>
      <c r="LA447" s="359" t="s">
        <v>4543</v>
      </c>
      <c r="LB447" s="359" t="s">
        <v>4544</v>
      </c>
      <c r="LC447" s="359" t="s">
        <v>4544</v>
      </c>
      <c r="LD447" s="359" t="s">
        <v>4544</v>
      </c>
      <c r="LE447" s="359" t="s">
        <v>4544</v>
      </c>
      <c r="LF447" s="359" t="s">
        <v>4544</v>
      </c>
      <c r="MK447" s="1418"/>
      <c r="ML447" s="1418"/>
      <c r="MM447" s="1418"/>
      <c r="MN447" s="1418"/>
      <c r="MO447" s="1418"/>
    </row>
    <row r="448" spans="1:358" s="359" customFormat="1" ht="11.25" customHeight="1">
      <c r="A448" s="2653"/>
      <c r="B448" s="2664" t="s">
        <v>3805</v>
      </c>
      <c r="C448" s="2655" t="s">
        <v>164</v>
      </c>
      <c r="D448" s="2655" t="s">
        <v>166</v>
      </c>
      <c r="E448" s="2655" t="s">
        <v>1381</v>
      </c>
      <c r="F448" s="2655" t="s">
        <v>1201</v>
      </c>
      <c r="G448" s="1546"/>
      <c r="H448" s="2655" t="s">
        <v>3992</v>
      </c>
      <c r="I448" s="1546"/>
      <c r="J448" s="2663"/>
      <c r="K448" s="2665" t="s">
        <v>334</v>
      </c>
      <c r="L448" s="2655" t="s">
        <v>1430</v>
      </c>
      <c r="M448" s="2655" t="s">
        <v>503</v>
      </c>
      <c r="N448" s="2655" t="s">
        <v>1380</v>
      </c>
      <c r="O448" s="2655" t="s">
        <v>4392</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4301</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4302</v>
      </c>
    </row>
    <row r="451" spans="1:380" ht="13.9" customHeight="1">
      <c r="A451" s="2647" t="str">
        <f t="shared" si="0"/>
        <v/>
      </c>
      <c r="B451" s="2666" t="str">
        <f>'Part V-Revenues &amp; Expenses'!B13</f>
        <v>Unrestricted</v>
      </c>
      <c r="C451" s="2667">
        <f>'Part V-Revenues &amp; Expenses'!C13</f>
        <v>1</v>
      </c>
      <c r="D451" s="2668">
        <f>'Part V-Revenues &amp; Expenses'!D13</f>
        <v>1</v>
      </c>
      <c r="E451" s="2669">
        <f>'Part V-Revenues &amp; Expenses'!E13</f>
        <v>8</v>
      </c>
      <c r="F451" s="2669">
        <f>'Part V-Revenues &amp; Expenses'!F13</f>
        <v>744</v>
      </c>
      <c r="G451" s="2669">
        <f>'Part V-Revenues &amp; Expenses'!G13</f>
        <v>0</v>
      </c>
      <c r="H451" s="2669">
        <f>'Part V-Revenues &amp; Expenses'!H13</f>
        <v>1350</v>
      </c>
      <c r="I451" s="2669">
        <f>'Part V-Revenues &amp; Expenses'!I13</f>
        <v>0</v>
      </c>
      <c r="J451" s="2669">
        <f>'Part V-Revenues &amp; Expenses'!J13</f>
        <v>0</v>
      </c>
      <c r="K451" s="2670">
        <f>'Part V-Revenues &amp; Expenses'!K13</f>
        <v>0</v>
      </c>
      <c r="L451" s="2671">
        <f t="shared" si="1"/>
        <v>1350</v>
      </c>
      <c r="M451" s="2671">
        <f t="shared" si="2"/>
        <v>10800</v>
      </c>
      <c r="N451" s="2540" t="str">
        <f>'Part V-Revenues &amp; Expenses'!N13</f>
        <v>No</v>
      </c>
      <c r="O451" s="1257" t="str">
        <f>'Part V-Revenues &amp; Expenses'!O13</f>
        <v>Low-Rise Apt</v>
      </c>
      <c r="P451" s="2540" t="str">
        <f>'Part V-Revenues &amp; Expenses'!P13</f>
        <v>New Construction</v>
      </c>
      <c r="Q451" s="1805" t="str">
        <f>'Part V-Revenues &amp; Expenses'!Q13</f>
        <v>No</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8</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5952</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f t="shared" si="174"/>
        <v>8</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f t="shared" si="214"/>
        <v>8</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f t="shared" si="259"/>
        <v>8</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8</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4303</v>
      </c>
    </row>
    <row r="452" spans="1:380" ht="13.9" customHeight="1">
      <c r="A452" s="2647" t="str">
        <f t="shared" si="0"/>
        <v/>
      </c>
      <c r="B452" s="2666" t="str">
        <f>'Part V-Revenues &amp; Expenses'!B14</f>
        <v>Unrestricted</v>
      </c>
      <c r="C452" s="2667">
        <f>'Part V-Revenues &amp; Expenses'!C14</f>
        <v>2</v>
      </c>
      <c r="D452" s="2668">
        <f>'Part V-Revenues &amp; Expenses'!D14</f>
        <v>2</v>
      </c>
      <c r="E452" s="2669">
        <f>'Part V-Revenues &amp; Expenses'!E14</f>
        <v>4</v>
      </c>
      <c r="F452" s="2669">
        <f>'Part V-Revenues &amp; Expenses'!F14</f>
        <v>1178</v>
      </c>
      <c r="G452" s="2669">
        <f>'Part V-Revenues &amp; Expenses'!G14</f>
        <v>0</v>
      </c>
      <c r="H452" s="2669">
        <f>'Part V-Revenues &amp; Expenses'!H14</f>
        <v>1650</v>
      </c>
      <c r="I452" s="2669">
        <f>'Part V-Revenues &amp; Expenses'!I14</f>
        <v>0</v>
      </c>
      <c r="J452" s="2669">
        <f>'Part V-Revenues &amp; Expenses'!J14</f>
        <v>0</v>
      </c>
      <c r="K452" s="2670">
        <f>'Part V-Revenues &amp; Expenses'!K14</f>
        <v>0</v>
      </c>
      <c r="L452" s="2671">
        <f t="shared" si="1"/>
        <v>1650</v>
      </c>
      <c r="M452" s="2671">
        <f t="shared" si="2"/>
        <v>6600</v>
      </c>
      <c r="N452" s="2540" t="str">
        <f>'Part V-Revenues &amp; Expenses'!N14</f>
        <v>No</v>
      </c>
      <c r="O452" s="1257" t="str">
        <f>'Part V-Revenues &amp; Expenses'!O14</f>
        <v>Low-Rise Apt</v>
      </c>
      <c r="P452" s="2540" t="str">
        <f>'Part V-Revenues &amp; Expenses'!P14</f>
        <v>New Construction</v>
      </c>
      <c r="Q452" s="1805" t="str">
        <f>'Part V-Revenues &amp; Expenses'!Q14</f>
        <v>No</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4</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4712</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f t="shared" si="175"/>
        <v>4</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f t="shared" si="215"/>
        <v>4</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f t="shared" si="260"/>
        <v>4</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4</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4304</v>
      </c>
    </row>
    <row r="453" spans="1:380" ht="13.9" customHeight="1">
      <c r="A453" s="2647" t="str">
        <f t="shared" si="0"/>
        <v/>
      </c>
      <c r="B453" s="2666" t="str">
        <f>'Part V-Revenues &amp; Expenses'!B15</f>
        <v>Unrestricted</v>
      </c>
      <c r="C453" s="2667">
        <f>'Part V-Revenues &amp; Expenses'!C15</f>
        <v>3</v>
      </c>
      <c r="D453" s="2668">
        <f>'Part V-Revenues &amp; Expenses'!D15</f>
        <v>2</v>
      </c>
      <c r="E453" s="2669">
        <f>'Part V-Revenues &amp; Expenses'!E15</f>
        <v>2</v>
      </c>
      <c r="F453" s="2669">
        <f>'Part V-Revenues &amp; Expenses'!F15</f>
        <v>1284</v>
      </c>
      <c r="G453" s="2669">
        <f>'Part V-Revenues &amp; Expenses'!G15</f>
        <v>0</v>
      </c>
      <c r="H453" s="2669">
        <f>'Part V-Revenues &amp; Expenses'!H15</f>
        <v>2100</v>
      </c>
      <c r="I453" s="2669">
        <f>'Part V-Revenues &amp; Expenses'!I15</f>
        <v>0</v>
      </c>
      <c r="J453" s="2669">
        <f>'Part V-Revenues &amp; Expenses'!J15</f>
        <v>0</v>
      </c>
      <c r="K453" s="2670">
        <f>'Part V-Revenues &amp; Expenses'!K15</f>
        <v>0</v>
      </c>
      <c r="L453" s="2671">
        <f t="shared" si="1"/>
        <v>2100</v>
      </c>
      <c r="M453" s="2671">
        <f t="shared" si="2"/>
        <v>4200</v>
      </c>
      <c r="N453" s="2540" t="str">
        <f>'Part V-Revenues &amp; Expenses'!N15</f>
        <v>No</v>
      </c>
      <c r="O453" s="1257" t="str">
        <f>'Part V-Revenues &amp; Expenses'!O15</f>
        <v>Low-Rise Apt</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f t="shared" si="41"/>
        <v>2</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f t="shared" si="156"/>
        <v>2568</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f t="shared" si="176"/>
        <v>2</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f t="shared" si="216"/>
        <v>2</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f t="shared" si="261"/>
        <v>2</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2</v>
      </c>
      <c r="MO453" s="1658">
        <f t="shared" si="337"/>
        <v>0</v>
      </c>
      <c r="MP453" s="1658">
        <f t="shared" si="328"/>
        <v>0</v>
      </c>
      <c r="MQ453" s="1658">
        <f t="shared" si="329"/>
        <v>0</v>
      </c>
      <c r="MR453" s="1658">
        <f t="shared" si="330"/>
        <v>0</v>
      </c>
      <c r="MS453" s="1658">
        <f t="shared" si="331"/>
        <v>0</v>
      </c>
      <c r="MT453" s="1658">
        <f t="shared" si="332"/>
        <v>0</v>
      </c>
      <c r="NP453" s="356" t="s">
        <v>4305</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4306</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4307</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26</v>
      </c>
      <c r="F456" s="2669">
        <f>'Part V-Revenues &amp; Expenses'!F18</f>
        <v>744</v>
      </c>
      <c r="G456" s="2669">
        <f>'Part V-Revenues &amp; Expenses'!G18</f>
        <v>1008</v>
      </c>
      <c r="H456" s="2669">
        <f>'Part V-Revenues &amp; Expenses'!H18</f>
        <v>964</v>
      </c>
      <c r="I456" s="2669">
        <f>'Part V-Revenues &amp; Expenses'!I18</f>
        <v>0</v>
      </c>
      <c r="J456" s="2669">
        <f>'Part V-Revenues &amp; Expenses'!J18</f>
        <v>118</v>
      </c>
      <c r="K456" s="2670">
        <f>'Part V-Revenues &amp; Expenses'!K18</f>
        <v>0</v>
      </c>
      <c r="L456" s="2671">
        <f t="shared" si="1"/>
        <v>846</v>
      </c>
      <c r="M456" s="2671">
        <f t="shared" si="2"/>
        <v>21996</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26</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19344</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26</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26</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26</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26</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4308</v>
      </c>
    </row>
    <row r="457" spans="1:380" ht="13.9" customHeight="1">
      <c r="A457" s="2647" t="str">
        <f t="shared" si="0"/>
        <v/>
      </c>
      <c r="B457" s="2666">
        <f>'Part V-Revenues &amp; Expenses'!B19</f>
        <v>50</v>
      </c>
      <c r="C457" s="2667">
        <f>'Part V-Revenues &amp; Expenses'!C19</f>
        <v>2</v>
      </c>
      <c r="D457" s="2668">
        <f>'Part V-Revenues &amp; Expenses'!D19</f>
        <v>2</v>
      </c>
      <c r="E457" s="2669">
        <f>'Part V-Revenues &amp; Expenses'!E19</f>
        <v>27</v>
      </c>
      <c r="F457" s="2669">
        <f>'Part V-Revenues &amp; Expenses'!F19</f>
        <v>1178</v>
      </c>
      <c r="G457" s="2669">
        <f>'Part V-Revenues &amp; Expenses'!G19</f>
        <v>1210</v>
      </c>
      <c r="H457" s="2669">
        <f>'Part V-Revenues &amp; Expenses'!H19</f>
        <v>1157</v>
      </c>
      <c r="I457" s="2669">
        <f>'Part V-Revenues &amp; Expenses'!I19</f>
        <v>0</v>
      </c>
      <c r="J457" s="2669">
        <f>'Part V-Revenues &amp; Expenses'!J19</f>
        <v>148</v>
      </c>
      <c r="K457" s="2670">
        <f>'Part V-Revenues &amp; Expenses'!K19</f>
        <v>0</v>
      </c>
      <c r="L457" s="2671">
        <f t="shared" si="1"/>
        <v>1009</v>
      </c>
      <c r="M457" s="2671">
        <f t="shared" si="2"/>
        <v>27243</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27</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31806</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27</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27</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27</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27</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4309</v>
      </c>
    </row>
    <row r="458" spans="1:380" ht="13.9" customHeight="1">
      <c r="A458" s="2647" t="str">
        <f t="shared" si="0"/>
        <v/>
      </c>
      <c r="B458" s="2666">
        <f>'Part V-Revenues &amp; Expenses'!B20</f>
        <v>50</v>
      </c>
      <c r="C458" s="2667">
        <f>'Part V-Revenues &amp; Expenses'!C20</f>
        <v>3</v>
      </c>
      <c r="D458" s="2668">
        <f>'Part V-Revenues &amp; Expenses'!D20</f>
        <v>2</v>
      </c>
      <c r="E458" s="2669">
        <f>'Part V-Revenues &amp; Expenses'!E20</f>
        <v>5</v>
      </c>
      <c r="F458" s="2669">
        <f>'Part V-Revenues &amp; Expenses'!F20</f>
        <v>1284</v>
      </c>
      <c r="G458" s="2669">
        <f>'Part V-Revenues &amp; Expenses'!G20</f>
        <v>1398</v>
      </c>
      <c r="H458" s="2669">
        <f>'Part V-Revenues &amp; Expenses'!H20</f>
        <v>1337</v>
      </c>
      <c r="I458" s="2669">
        <f>'Part V-Revenues &amp; Expenses'!I20</f>
        <v>0</v>
      </c>
      <c r="J458" s="2669">
        <f>'Part V-Revenues &amp; Expenses'!J20</f>
        <v>184</v>
      </c>
      <c r="K458" s="2670">
        <f>'Part V-Revenues &amp; Expenses'!K20</f>
        <v>0</v>
      </c>
      <c r="L458" s="2671">
        <f t="shared" si="1"/>
        <v>1153</v>
      </c>
      <c r="M458" s="2671">
        <f t="shared" si="2"/>
        <v>5765</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f t="shared" si="21"/>
        <v>5</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f t="shared" si="136"/>
        <v>6420</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5</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f t="shared" si="216"/>
        <v>5</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f t="shared" si="261"/>
        <v>5</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5</v>
      </c>
      <c r="MO458" s="1658">
        <f t="shared" si="337"/>
        <v>0</v>
      </c>
      <c r="MP458" s="1658">
        <f t="shared" si="328"/>
        <v>0</v>
      </c>
      <c r="MQ458" s="1658">
        <f t="shared" si="329"/>
        <v>0</v>
      </c>
      <c r="MR458" s="1658">
        <f t="shared" si="330"/>
        <v>0</v>
      </c>
      <c r="MS458" s="1658">
        <f t="shared" si="331"/>
        <v>0</v>
      </c>
      <c r="MT458" s="1658">
        <f t="shared" si="332"/>
        <v>0</v>
      </c>
      <c r="NP458" s="356" t="s">
        <v>4310</v>
      </c>
    </row>
    <row r="459" spans="1:380" ht="13.9"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4311</v>
      </c>
    </row>
    <row r="460" spans="1:380" ht="13.9" customHeight="1">
      <c r="A460" s="2647" t="str">
        <f t="shared" si="0"/>
        <v/>
      </c>
      <c r="B460" s="2666">
        <f>'Part V-Revenues &amp; Expenses'!B22</f>
        <v>0</v>
      </c>
      <c r="C460" s="2667">
        <f>'Part V-Revenues &amp; Expenses'!C22</f>
        <v>0</v>
      </c>
      <c r="D460" s="2668">
        <f>'Part V-Revenues &amp; Expenses'!D22</f>
        <v>0</v>
      </c>
      <c r="E460" s="2669">
        <f>'Part V-Revenues &amp; Expenses'!E22</f>
        <v>0</v>
      </c>
      <c r="F460" s="2669">
        <f>'Part V-Revenues &amp; Expenses'!F22</f>
        <v>0</v>
      </c>
      <c r="G460" s="2669">
        <f>'Part V-Revenues &amp; Expenses'!G22</f>
        <v>0</v>
      </c>
      <c r="H460" s="2669">
        <f>'Part V-Revenues &amp; Expenses'!H22</f>
        <v>0</v>
      </c>
      <c r="I460" s="2669">
        <f>'Part V-Revenues &amp; Expenses'!I22</f>
        <v>0</v>
      </c>
      <c r="J460" s="2669">
        <f>'Part V-Revenues &amp; Expenses'!J22</f>
        <v>0</v>
      </c>
      <c r="K460" s="2670">
        <f>'Part V-Revenues &amp; Expenses'!K22</f>
        <v>0</v>
      </c>
      <c r="L460" s="2671">
        <f t="shared" si="1"/>
        <v>0</v>
      </c>
      <c r="M460" s="2671">
        <f t="shared" si="2"/>
        <v>0</v>
      </c>
      <c r="N460" s="2540">
        <f>'Part V-Revenues &amp; Expenses'!N22</f>
        <v>0</v>
      </c>
      <c r="O460" s="1257">
        <f>'Part V-Revenues &amp; Expenses'!O22</f>
        <v>0</v>
      </c>
      <c r="P460" s="2540">
        <f>'Part V-Revenues &amp; Expenses'!P22</f>
        <v>0</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4312</v>
      </c>
    </row>
    <row r="461" spans="1:380" ht="13.9" customHeight="1">
      <c r="A461" s="2647" t="str">
        <f t="shared" si="0"/>
        <v/>
      </c>
      <c r="B461" s="2666">
        <f>'Part V-Revenues &amp; Expenses'!B23</f>
        <v>0</v>
      </c>
      <c r="C461" s="2667">
        <f>'Part V-Revenues &amp; Expenses'!C23</f>
        <v>0</v>
      </c>
      <c r="D461" s="2668">
        <f>'Part V-Revenues &amp; Expenses'!D23</f>
        <v>0</v>
      </c>
      <c r="E461" s="2669">
        <f>'Part V-Revenues &amp; Expenses'!E23</f>
        <v>0</v>
      </c>
      <c r="F461" s="2669">
        <f>'Part V-Revenues &amp; Expenses'!F23</f>
        <v>0</v>
      </c>
      <c r="G461" s="2669">
        <f>'Part V-Revenues &amp; Expenses'!G23</f>
        <v>0</v>
      </c>
      <c r="H461" s="2669">
        <f>'Part V-Revenues &amp; Expenses'!H23</f>
        <v>0</v>
      </c>
      <c r="I461" s="2669">
        <f>'Part V-Revenues &amp; Expenses'!I23</f>
        <v>0</v>
      </c>
      <c r="J461" s="2669">
        <f>'Part V-Revenues &amp; Expenses'!J23</f>
        <v>0</v>
      </c>
      <c r="K461" s="2670">
        <f>'Part V-Revenues &amp; Expenses'!K23</f>
        <v>0</v>
      </c>
      <c r="L461" s="2671">
        <f t="shared" si="1"/>
        <v>0</v>
      </c>
      <c r="M461" s="2671">
        <f t="shared" si="2"/>
        <v>0</v>
      </c>
      <c r="N461" s="2540">
        <f>'Part V-Revenues &amp; Expenses'!N23</f>
        <v>0</v>
      </c>
      <c r="O461" s="1257">
        <f>'Part V-Revenues &amp; Expenses'!O23</f>
        <v>0</v>
      </c>
      <c r="P461" s="2540">
        <f>'Part V-Revenues &amp; Expenses'!P23</f>
        <v>0</v>
      </c>
      <c r="Q461" s="1805">
        <f>'Part V-Revenues &amp; Expenses'!Q23</f>
        <v>0</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4313</v>
      </c>
    </row>
    <row r="462" spans="1:380" ht="13.9"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4314</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4315</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4316</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4317</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4318</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4319</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4320</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4321</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4322</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4323</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4324</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4325</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4326</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4327</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4328</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4329</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4330</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4331</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4332</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4333</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4334</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4335</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4336</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4337</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4338</v>
      </c>
    </row>
    <row r="487" spans="1:380" ht="13.9" customHeight="1">
      <c r="A487" s="2647">
        <f>COUNT(A449,A450,A451,A452,A453,A454,A455,A456,A457,A458,A459,A460,A461,A462,A463,A464,A465,A466,A467,A468,A469,A470,A471,A472,A473,A474,A475,A476,A477,A478)</f>
        <v>0</v>
      </c>
      <c r="B487" s="2675" t="s">
        <v>3647</v>
      </c>
      <c r="C487" s="2675"/>
      <c r="D487" s="2676" t="s">
        <v>953</v>
      </c>
      <c r="E487" s="2677">
        <f>SUM(E449:E486)</f>
        <v>72</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70802</v>
      </c>
      <c r="H487" s="2679" t="s">
        <v>3644</v>
      </c>
      <c r="I487" s="2680" t="s">
        <v>3645</v>
      </c>
      <c r="J487" s="2681" t="str">
        <f>IF(P505=0,"",IF(SUM(P496:P500)/P505&gt;=0.4,"Pass","Fail"))</f>
        <v>Pass</v>
      </c>
      <c r="K487" s="362"/>
      <c r="L487" s="2682" t="s">
        <v>1223</v>
      </c>
      <c r="M487" s="2683">
        <f>SUM(M449:M486)</f>
        <v>76604</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0</v>
      </c>
      <c r="AJ487" s="1659">
        <f t="shared" si="338"/>
        <v>0</v>
      </c>
      <c r="AK487" s="1659">
        <f t="shared" si="338"/>
        <v>0</v>
      </c>
      <c r="AL487" s="1659">
        <f t="shared" si="338"/>
        <v>0</v>
      </c>
      <c r="AM487" s="1659">
        <f>SUM(AM449:AM486)</f>
        <v>0</v>
      </c>
      <c r="AN487" s="1659">
        <f>SUM(AN449:AN486)</f>
        <v>26</v>
      </c>
      <c r="AO487" s="1659">
        <f>SUM(AO449:AO486)</f>
        <v>27</v>
      </c>
      <c r="AP487" s="1659">
        <f>SUM(AP449:AP486)</f>
        <v>5</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8</v>
      </c>
      <c r="BI487" s="1659">
        <f t="shared" si="338"/>
        <v>4</v>
      </c>
      <c r="BJ487" s="1659">
        <f t="shared" si="338"/>
        <v>2</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0</v>
      </c>
      <c r="EU487" s="1659">
        <f t="shared" si="338"/>
        <v>0</v>
      </c>
      <c r="EV487" s="1659">
        <f t="shared" si="338"/>
        <v>0</v>
      </c>
      <c r="EW487" s="1659">
        <f t="shared" si="338"/>
        <v>0</v>
      </c>
      <c r="EX487" s="1659">
        <f t="shared" si="338"/>
        <v>0</v>
      </c>
      <c r="EY487" s="1659">
        <f t="shared" si="338"/>
        <v>19344</v>
      </c>
      <c r="EZ487" s="1659">
        <f t="shared" si="338"/>
        <v>31806</v>
      </c>
      <c r="FA487" s="1659">
        <f t="shared" si="338"/>
        <v>6420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5952</v>
      </c>
      <c r="FT487" s="1659">
        <f t="shared" si="340"/>
        <v>4712</v>
      </c>
      <c r="FU487" s="1659">
        <f t="shared" si="340"/>
        <v>2568</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26</v>
      </c>
      <c r="GI487" s="1659">
        <f t="shared" si="340"/>
        <v>27</v>
      </c>
      <c r="GJ487" s="1659">
        <f t="shared" si="340"/>
        <v>5</v>
      </c>
      <c r="GK487" s="1659">
        <f t="shared" si="340"/>
        <v>0</v>
      </c>
      <c r="GL487" s="1659">
        <f t="shared" si="340"/>
        <v>0</v>
      </c>
      <c r="GM487" s="1659">
        <f t="shared" si="340"/>
        <v>8</v>
      </c>
      <c r="GN487" s="1659">
        <f t="shared" si="340"/>
        <v>4</v>
      </c>
      <c r="GO487" s="1659">
        <f t="shared" si="340"/>
        <v>2</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34</v>
      </c>
      <c r="IB487" s="1659">
        <f t="shared" si="341"/>
        <v>31</v>
      </c>
      <c r="IC487" s="1659">
        <f t="shared" si="341"/>
        <v>7</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34</v>
      </c>
      <c r="JU487" s="1659">
        <f t="shared" si="341"/>
        <v>31</v>
      </c>
      <c r="JV487" s="1659">
        <f t="shared" si="341"/>
        <v>7</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34</v>
      </c>
      <c r="MM487" s="1659">
        <f t="shared" si="343"/>
        <v>31</v>
      </c>
      <c r="MN487" s="1659">
        <f t="shared" si="343"/>
        <v>7</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4339</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50</v>
      </c>
      <c r="C488" s="2684"/>
      <c r="D488" s="2647" t="s">
        <v>3554</v>
      </c>
      <c r="E488" s="2677">
        <f>SUM(E456:E486)</f>
        <v>58</v>
      </c>
      <c r="F488" s="2678">
        <f>(E456*F456+E457*F457+E458*F458+E459*F459+E460*F460+E461*F461+E462*F462+E463*F463+E464*F464+E465*F465+E466*F466+E467*F467+E468*F468+E469*F469+E470*F470+E471*F471+E472*F472+E473*F473+E474*F474+E475*F475+E476*F476+E477*F477+E478*F478+E479*F479+E480*F480+E481*F481+E482*F482+E483*F483+E484*F484+E485*F485+E486*F486)</f>
        <v>57570</v>
      </c>
      <c r="H488" s="2679"/>
      <c r="I488" s="2680" t="s">
        <v>3646</v>
      </c>
      <c r="J488" s="2681" t="str">
        <f>IF(P505=0,"",IF(SUM(P497:P500)/P505&gt;=0.2,"Pass","Fail"))</f>
        <v>Pass</v>
      </c>
      <c r="K488" s="362"/>
      <c r="L488" s="2676" t="s">
        <v>756</v>
      </c>
      <c r="M488" s="2683">
        <f>M487*12</f>
        <v>919248</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4340</v>
      </c>
    </row>
    <row r="489" spans="1:380" ht="6.95" customHeight="1">
      <c r="A489" s="2563" t="s">
        <v>5079</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4535</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4537</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4389</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3943</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0</v>
      </c>
      <c r="N496" s="2688">
        <f>AK487</f>
        <v>0</v>
      </c>
      <c r="O496" s="2688">
        <f>AL487</f>
        <v>0</v>
      </c>
      <c r="P496" s="2688">
        <f t="shared" si="344"/>
        <v>0</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26</v>
      </c>
      <c r="M497" s="2688">
        <f>AO487</f>
        <v>27</v>
      </c>
      <c r="N497" s="2688">
        <f>AP487</f>
        <v>5</v>
      </c>
      <c r="O497" s="2688">
        <f>AQ487</f>
        <v>0</v>
      </c>
      <c r="P497" s="2688">
        <f t="shared" si="344"/>
        <v>58</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26</v>
      </c>
      <c r="M501" s="2688">
        <f>SUM(M494:M500)</f>
        <v>27</v>
      </c>
      <c r="N501" s="2688">
        <f>SUM(N494:N500)</f>
        <v>5</v>
      </c>
      <c r="O501" s="2688">
        <f>SUM(O494:O500)</f>
        <v>0</v>
      </c>
      <c r="P501" s="2688">
        <f t="shared" si="344"/>
        <v>58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8</v>
      </c>
      <c r="M502" s="2688">
        <f>BI487</f>
        <v>4</v>
      </c>
      <c r="N502" s="2688">
        <f>BJ487</f>
        <v>2</v>
      </c>
      <c r="O502" s="2688">
        <f>BK487</f>
        <v>0</v>
      </c>
      <c r="P502" s="2688">
        <f t="shared" si="344"/>
        <v>14</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34</v>
      </c>
      <c r="M503" s="2693">
        <f>SUM(M501:M502)</f>
        <v>31</v>
      </c>
      <c r="N503" s="2693">
        <f>SUM(N501:N502)</f>
        <v>7</v>
      </c>
      <c r="O503" s="2693">
        <f>SUM(O501:O502)</f>
        <v>0</v>
      </c>
      <c r="P503" s="2693">
        <f t="shared" si="344"/>
        <v>72</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34</v>
      </c>
      <c r="M505" s="2694">
        <f>SUM(M503:M504)</f>
        <v>31</v>
      </c>
      <c r="N505" s="2694">
        <f>SUM(N503:N504)</f>
        <v>7</v>
      </c>
      <c r="O505" s="2694">
        <f>SUM(O503:O504)</f>
        <v>0</v>
      </c>
      <c r="P505" s="2694">
        <f t="shared" si="344"/>
        <v>72</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3649</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3937</v>
      </c>
      <c r="S508" s="2674"/>
      <c r="T508" s="2674"/>
      <c r="U508" s="2674"/>
      <c r="V508" s="2674"/>
      <c r="W508" s="2674"/>
    </row>
    <row r="509" spans="1:343">
      <c r="A509" s="2687"/>
      <c r="B509" s="2687"/>
      <c r="C509" s="358"/>
      <c r="H509" s="1418" t="s">
        <v>5080</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5081</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5082</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5080</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5081</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3935</v>
      </c>
      <c r="D514" s="358"/>
      <c r="E514" s="358"/>
      <c r="F514" s="358"/>
      <c r="H514" s="1418" t="s">
        <v>1080</v>
      </c>
      <c r="I514" s="361"/>
      <c r="J514" s="358"/>
      <c r="K514" s="2697" t="str">
        <f t="shared" ref="K514:P514" si="349">IF(OR(K496=0,K505=0),"",K496/K505)</f>
        <v/>
      </c>
      <c r="L514" s="2697" t="str">
        <f t="shared" si="349"/>
        <v/>
      </c>
      <c r="M514" s="2697" t="str">
        <f t="shared" si="349"/>
        <v/>
      </c>
      <c r="N514" s="2697" t="str">
        <f t="shared" si="349"/>
        <v/>
      </c>
      <c r="O514" s="2697" t="str">
        <f t="shared" si="349"/>
        <v/>
      </c>
      <c r="P514" s="2697" t="str">
        <f t="shared" si="349"/>
        <v/>
      </c>
      <c r="S514" s="2674"/>
      <c r="T514" s="2674"/>
      <c r="U514" s="2674"/>
      <c r="V514" s="2674"/>
      <c r="W514" s="2674"/>
    </row>
    <row r="515" spans="3:23" ht="15.75" customHeight="1">
      <c r="C515" s="360"/>
      <c r="D515" s="358"/>
      <c r="E515" s="358"/>
      <c r="F515" s="358"/>
      <c r="H515" s="1418" t="s">
        <v>5080</v>
      </c>
      <c r="I515" s="361"/>
      <c r="J515" s="358"/>
      <c r="K515" s="2698" t="str">
        <f>IF(OR(K496=0,P514="",K505=0),"",P514*K505)</f>
        <v/>
      </c>
      <c r="L515" s="2698" t="str">
        <f>IF(OR(L496=0,P514="",L505=0),"",P514*L505)</f>
        <v/>
      </c>
      <c r="M515" s="2698" t="str">
        <f>IF(OR(M496=0,P514="",M505=0),"",P514*M505)</f>
        <v/>
      </c>
      <c r="N515" s="2698" t="str">
        <f>IF(OR(N496=0,P514="",N505=0),"",P514*N505)</f>
        <v/>
      </c>
      <c r="O515" s="2698" t="str">
        <f>IF(OR(O496=0,P514="",O505=0),"",P514*O505)</f>
        <v/>
      </c>
      <c r="P515" s="2698" t="str">
        <f>IF(OR(P514="",P505=0),"",P514*P505)</f>
        <v/>
      </c>
      <c r="S515" s="2674"/>
      <c r="T515" s="2674"/>
      <c r="U515" s="2674"/>
      <c r="V515" s="2674"/>
      <c r="W515" s="2674"/>
    </row>
    <row r="516" spans="3:23" ht="15.75" customHeight="1">
      <c r="C516" s="360"/>
      <c r="D516" s="358"/>
      <c r="E516" s="358"/>
      <c r="F516" s="358"/>
      <c r="G516" s="2680"/>
      <c r="H516" s="1418" t="s">
        <v>5081</v>
      </c>
      <c r="I516" s="361"/>
      <c r="J516" s="358"/>
      <c r="K516" s="2698" t="str">
        <f t="shared" ref="K516:P516" si="350">IF(OR(K515="",K496=0),"", K496-K515)</f>
        <v/>
      </c>
      <c r="L516" s="2698" t="str">
        <f t="shared" si="350"/>
        <v/>
      </c>
      <c r="M516" s="2698" t="str">
        <f t="shared" si="350"/>
        <v/>
      </c>
      <c r="N516" s="2698" t="str">
        <f t="shared" si="350"/>
        <v/>
      </c>
      <c r="O516" s="2698" t="str">
        <f t="shared" si="350"/>
        <v/>
      </c>
      <c r="P516" s="2698" t="str">
        <f t="shared" si="350"/>
        <v/>
      </c>
    </row>
    <row r="517" spans="3:23">
      <c r="C517" s="360" t="s">
        <v>3935</v>
      </c>
      <c r="D517" s="360"/>
      <c r="E517" s="360"/>
      <c r="H517" s="1418" t="s">
        <v>112</v>
      </c>
      <c r="I517" s="361"/>
      <c r="J517" s="358"/>
      <c r="K517" s="2697" t="str">
        <f t="shared" ref="K517:P517" si="351">IF(OR(K497=0,K505=0),"",K497/K505)</f>
        <v/>
      </c>
      <c r="L517" s="2697">
        <f t="shared" si="351"/>
        <v>0.76470588235294112</v>
      </c>
      <c r="M517" s="2697">
        <f t="shared" si="351"/>
        <v>0.87096774193548387</v>
      </c>
      <c r="N517" s="2697">
        <f t="shared" si="351"/>
        <v>0.7142857142857143</v>
      </c>
      <c r="O517" s="2697" t="str">
        <f t="shared" si="351"/>
        <v/>
      </c>
      <c r="P517" s="2697">
        <f t="shared" si="351"/>
        <v>0.80555555555555558</v>
      </c>
    </row>
    <row r="518" spans="3:23">
      <c r="C518" s="360"/>
      <c r="D518" s="360"/>
      <c r="E518" s="360"/>
      <c r="H518" s="1418" t="s">
        <v>5080</v>
      </c>
      <c r="I518" s="361"/>
      <c r="J518" s="358"/>
      <c r="K518" s="2698" t="str">
        <f>IF(OR(K497=0,P517="",K505=0),"",P517*K505)</f>
        <v/>
      </c>
      <c r="L518" s="2698">
        <f>IF(OR(L497=0,P517="",L505=0),"",P517*L505)</f>
        <v>27.388888888888889</v>
      </c>
      <c r="M518" s="2698">
        <f>IF(OR(M497=0,P517="",M505=0),"",P517*M505)</f>
        <v>24.972222222222221</v>
      </c>
      <c r="N518" s="2698">
        <f>IF(OR(N497=0,P517="",N505=0),"",P517*N505)</f>
        <v>5.6388888888888893</v>
      </c>
      <c r="O518" s="2698" t="str">
        <f>IF(OR(O497=0,P517="",O505=0),"",P517*O505)</f>
        <v/>
      </c>
      <c r="P518" s="2698">
        <f>IF(OR(P517="",P505=0),"",P517*P505)</f>
        <v>58</v>
      </c>
    </row>
    <row r="519" spans="3:23">
      <c r="C519" s="360"/>
      <c r="D519" s="360"/>
      <c r="E519" s="360"/>
      <c r="G519" s="2680"/>
      <c r="H519" s="1418" t="s">
        <v>5081</v>
      </c>
      <c r="I519" s="361"/>
      <c r="J519" s="358"/>
      <c r="K519" s="2698" t="str">
        <f t="shared" ref="K519:P519" si="352">IF(OR(K518="",K497=0),"", K497-K518)</f>
        <v/>
      </c>
      <c r="L519" s="2698">
        <f t="shared" si="352"/>
        <v>-1.3888888888888893</v>
      </c>
      <c r="M519" s="2698">
        <f t="shared" si="352"/>
        <v>2.0277777777777786</v>
      </c>
      <c r="N519" s="2698">
        <f t="shared" si="352"/>
        <v>-0.63888888888888928</v>
      </c>
      <c r="O519" s="2698" t="str">
        <f t="shared" si="352"/>
        <v/>
      </c>
      <c r="P519" s="2698">
        <f t="shared" si="352"/>
        <v>0</v>
      </c>
    </row>
    <row r="520" spans="3:23">
      <c r="C520" s="360" t="s">
        <v>3935</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5080</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5081</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3935</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5080</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5081</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3935</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5080</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5081</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5083</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4824</v>
      </c>
      <c r="F551" s="358"/>
      <c r="H551" s="1418" t="s">
        <v>1341</v>
      </c>
      <c r="I551" s="361"/>
      <c r="K551" s="2688">
        <f>GG487</f>
        <v>0</v>
      </c>
      <c r="L551" s="2688">
        <f>GH487</f>
        <v>26</v>
      </c>
      <c r="M551" s="2688">
        <f>GI487</f>
        <v>27</v>
      </c>
      <c r="N551" s="2688">
        <f>GJ487</f>
        <v>5</v>
      </c>
      <c r="O551" s="2688">
        <f>GK487</f>
        <v>0</v>
      </c>
      <c r="P551" s="2688">
        <f t="shared" ref="P551:P561" si="361">SUM(K551:O551)</f>
        <v>58</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8</v>
      </c>
      <c r="M552" s="2688">
        <f>GN487</f>
        <v>4</v>
      </c>
      <c r="N552" s="2688">
        <f>GO487</f>
        <v>2</v>
      </c>
      <c r="O552" s="2688">
        <f>GP487</f>
        <v>0</v>
      </c>
      <c r="P552" s="2688">
        <f t="shared" si="361"/>
        <v>14</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4831</v>
      </c>
      <c r="J553" s="2702">
        <f>IF($P$67=0,0,P553/$P$67)</f>
        <v>0</v>
      </c>
      <c r="K553" s="2694">
        <f>SUM(K551:K552)+GQ487</f>
        <v>0</v>
      </c>
      <c r="L553" s="2694">
        <f>SUM(L551:L552)+GR487</f>
        <v>34</v>
      </c>
      <c r="M553" s="2694">
        <f>SUM(M551:M552)+GS487</f>
        <v>31</v>
      </c>
      <c r="N553" s="2694">
        <f>SUM(N551:N552)+GT487</f>
        <v>7</v>
      </c>
      <c r="O553" s="2694">
        <f>SUM(O551:O552)+GU487</f>
        <v>0</v>
      </c>
      <c r="P553" s="2694">
        <f t="shared" si="361"/>
        <v>72</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4831</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4831</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4825</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5033</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4823</v>
      </c>
      <c r="D565" s="2674"/>
      <c r="E565" s="1418" t="s">
        <v>4763</v>
      </c>
      <c r="F565" s="358"/>
      <c r="G565" s="2507"/>
      <c r="H565" s="359"/>
      <c r="K565" s="2704">
        <f>'Part V-Revenues &amp; Expenses'!K127</f>
        <v>0</v>
      </c>
      <c r="L565" s="358" t="s">
        <v>4826</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4827</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5084</v>
      </c>
      <c r="D569" s="2674"/>
      <c r="E569" s="1418" t="s">
        <v>36</v>
      </c>
      <c r="F569" s="358"/>
      <c r="G569" s="2507"/>
      <c r="H569" s="359"/>
      <c r="K569" s="2694">
        <f t="shared" ref="K569:P569" si="362">SUM(K570:K577)</f>
        <v>0</v>
      </c>
      <c r="L569" s="2694">
        <f t="shared" si="362"/>
        <v>34</v>
      </c>
      <c r="M569" s="2694">
        <f t="shared" si="362"/>
        <v>31</v>
      </c>
      <c r="N569" s="2694">
        <f t="shared" si="362"/>
        <v>7</v>
      </c>
      <c r="O569" s="2694">
        <f t="shared" si="362"/>
        <v>0</v>
      </c>
      <c r="P569" s="2694">
        <f t="shared" si="362"/>
        <v>72</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4187</v>
      </c>
      <c r="I570" s="1787"/>
      <c r="K570" s="2688">
        <f>JS487</f>
        <v>0</v>
      </c>
      <c r="L570" s="2688">
        <f>JT487</f>
        <v>34</v>
      </c>
      <c r="M570" s="2688">
        <f>JU487</f>
        <v>31</v>
      </c>
      <c r="N570" s="2688">
        <f>JV487</f>
        <v>7</v>
      </c>
      <c r="O570" s="2688">
        <f>JW487</f>
        <v>0</v>
      </c>
      <c r="P570" s="2688">
        <f t="shared" ref="P570:P585" si="363">SUM(K570:O570)</f>
        <v>72</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4374</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4189</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4381</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4376</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4377</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4183</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5083</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5085</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34</v>
      </c>
      <c r="M593" s="2688">
        <f t="shared" si="367"/>
        <v>31</v>
      </c>
      <c r="N593" s="2688">
        <f t="shared" si="367"/>
        <v>7</v>
      </c>
      <c r="O593" s="2688">
        <f t="shared" si="367"/>
        <v>0</v>
      </c>
      <c r="P593" s="2694">
        <f t="shared" si="365"/>
        <v>72</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5086</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4390</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0</v>
      </c>
      <c r="N601" s="2713">
        <f>EV487</f>
        <v>0</v>
      </c>
      <c r="O601" s="2713">
        <f>EW487</f>
        <v>0</v>
      </c>
      <c r="P601" s="2713">
        <f t="shared" si="368"/>
        <v>0</v>
      </c>
      <c r="Q601" s="2698" t="str">
        <f>'Part V-Revenues &amp; Expenses'!Q163</f>
        <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19344</v>
      </c>
      <c r="M602" s="2713">
        <f>EZ487</f>
        <v>31806</v>
      </c>
      <c r="N602" s="2713">
        <f>FA487</f>
        <v>6420</v>
      </c>
      <c r="O602" s="2713">
        <f>FB487</f>
        <v>0</v>
      </c>
      <c r="P602" s="2713">
        <f t="shared" si="368"/>
        <v>57570</v>
      </c>
      <c r="Q602" s="2698">
        <f>'Part V-Revenues &amp; Expenses'!Q164</f>
        <v>992.58620689655174</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19344</v>
      </c>
      <c r="M606" s="2714">
        <f>SUM(M599:M605)</f>
        <v>31806</v>
      </c>
      <c r="N606" s="2714">
        <f>SUM(N599:N605)</f>
        <v>6420</v>
      </c>
      <c r="O606" s="2714">
        <f>SUM(O599:O605)</f>
        <v>0</v>
      </c>
      <c r="P606" s="2714">
        <f>SUM(K606:O606)</f>
        <v>57570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5952</v>
      </c>
      <c r="M607" s="2713">
        <f>FT487</f>
        <v>4712</v>
      </c>
      <c r="N607" s="2713">
        <f>FU487</f>
        <v>2568</v>
      </c>
      <c r="O607" s="2713">
        <f>FV487</f>
        <v>0</v>
      </c>
      <c r="P607" s="2713">
        <f>SUM(K607:O607)</f>
        <v>13232</v>
      </c>
      <c r="Q607" s="2698">
        <f>'Part V-Revenues &amp; Expenses'!Q169</f>
        <v>945.14285714285711</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25296</v>
      </c>
      <c r="M608" s="2716">
        <f>SUM(M606:M607)</f>
        <v>36518</v>
      </c>
      <c r="N608" s="2716">
        <f>SUM(N606:N607)</f>
        <v>8988</v>
      </c>
      <c r="O608" s="2716">
        <f>SUM(O606:O607)</f>
        <v>0</v>
      </c>
      <c r="P608" s="2716">
        <f>SUM(K608:O608)</f>
        <v>70802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25296</v>
      </c>
      <c r="M610" s="2717">
        <f>SUM(M608:M609)</f>
        <v>36518</v>
      </c>
      <c r="N610" s="2717">
        <f>SUM(N608:N609)</f>
        <v>8988</v>
      </c>
      <c r="O610" s="2717">
        <f>SUM(O608:O609)</f>
        <v>0</v>
      </c>
      <c r="P610" s="2717">
        <f>SUM(K610:O610)</f>
        <v>70802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5087</v>
      </c>
      <c r="K613" s="2718" t="str">
        <f>'Part V-Revenues &amp; Expenses'!K175</f>
        <v/>
      </c>
      <c r="L613" s="2718">
        <f>'Part V-Revenues &amp; Expenses'!L175</f>
        <v>744</v>
      </c>
      <c r="M613" s="2718">
        <f>'Part V-Revenues &amp; Expenses'!M175</f>
        <v>1178</v>
      </c>
      <c r="N613" s="2718">
        <f>'Part V-Revenues &amp; Expenses'!N175</f>
        <v>1284</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4540</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5088</v>
      </c>
      <c r="K616" s="2533">
        <f>'Part V-Revenues &amp; Expenses'!K178</f>
        <v>5500</v>
      </c>
      <c r="L616" s="2533"/>
      <c r="Z616" s="1534">
        <v>68</v>
      </c>
    </row>
    <row r="617" spans="1:380" s="1729" customFormat="1" ht="13.35" customHeight="1">
      <c r="A617" s="2502"/>
      <c r="C617" s="376" t="s">
        <v>242</v>
      </c>
      <c r="K617" s="2533">
        <f>P610+K616</f>
        <v>76302</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5089</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18384.96</v>
      </c>
      <c r="I621" s="2720"/>
      <c r="J621" s="2705" t="s">
        <v>5090</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t="str">
        <f>'Part V-Revenues &amp; Expenses'!C188</f>
        <v>Water &amp; Sewer Reimbursement</v>
      </c>
      <c r="D626" s="1418"/>
      <c r="E626" s="1418"/>
      <c r="F626" s="1418"/>
      <c r="H626" s="2726">
        <f>'Part V-Revenues &amp; Expenses'!H188</f>
        <v>18384.96</v>
      </c>
      <c r="I626" s="2726">
        <f>'Part V-Revenues &amp; Expenses'!I188</f>
        <v>18752.659199999998</v>
      </c>
      <c r="J626" s="2726">
        <f>'Part V-Revenues &amp; Expenses'!J188</f>
        <v>19127.712383999999</v>
      </c>
      <c r="K626" s="2726">
        <f>'Part V-Revenues &amp; Expenses'!K188</f>
        <v>19510.266631679999</v>
      </c>
      <c r="L626" s="2726">
        <f>'Part V-Revenues &amp; Expenses'!L188</f>
        <v>19900.471964313598</v>
      </c>
      <c r="M626" s="2726">
        <f>'Part V-Revenues &amp; Expenses'!M188</f>
        <v>20298.481403599872</v>
      </c>
      <c r="N626" s="2726">
        <f>'Part V-Revenues &amp; Expenses'!N188</f>
        <v>20704.45103167187</v>
      </c>
      <c r="O626" s="2726">
        <f>'Part V-Revenues &amp; Expenses'!O188</f>
        <v>21118.540052305307</v>
      </c>
      <c r="P626" s="2726">
        <f>'Part V-Revenues &amp; Expenses'!P188</f>
        <v>21540.910853351412</v>
      </c>
      <c r="Q626" s="2726">
        <f>'Part V-Revenues &amp; Expenses'!Q188</f>
        <v>21971.729070418442</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18384.96</v>
      </c>
      <c r="I627" s="2727">
        <f>SUM(I625:I626)</f>
        <v>18752.659199999998</v>
      </c>
      <c r="J627" s="2727">
        <f t="shared" ref="J627:Q627" si="369">SUM(J625:J626)</f>
        <v>19127.712383999999</v>
      </c>
      <c r="K627" s="2727">
        <f t="shared" si="369"/>
        <v>19510.266631679999</v>
      </c>
      <c r="L627" s="2727">
        <f t="shared" si="369"/>
        <v>19900.471964313598</v>
      </c>
      <c r="M627" s="2727">
        <f t="shared" si="369"/>
        <v>20298.481403599872</v>
      </c>
      <c r="N627" s="2727">
        <f t="shared" si="369"/>
        <v>20704.45103167187</v>
      </c>
      <c r="O627" s="2727">
        <f t="shared" si="369"/>
        <v>21118.540052305307</v>
      </c>
      <c r="P627" s="2727">
        <f t="shared" si="369"/>
        <v>21540.910853351412</v>
      </c>
      <c r="Q627" s="2727">
        <f t="shared" si="369"/>
        <v>21971.729070418442</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5091</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5092</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t="str">
        <f>'Part V-Revenues &amp; Expenses'!C197</f>
        <v>Water &amp; Sewer Reimbursement</v>
      </c>
      <c r="D635" s="1418"/>
      <c r="E635" s="1418"/>
      <c r="F635" s="1418"/>
      <c r="H635" s="2726">
        <f>'Part V-Revenues &amp; Expenses'!H197</f>
        <v>22411.16365182681</v>
      </c>
      <c r="I635" s="2726">
        <f>'Part V-Revenues &amp; Expenses'!I197</f>
        <v>22859.386924863345</v>
      </c>
      <c r="J635" s="2726">
        <f>'Part V-Revenues &amp; Expenses'!J197</f>
        <v>23316.574663360614</v>
      </c>
      <c r="K635" s="2726">
        <f>'Part V-Revenues &amp; Expenses'!K197</f>
        <v>23782.906156627825</v>
      </c>
      <c r="L635" s="2726">
        <f>'Part V-Revenues &amp; Expenses'!L197</f>
        <v>24258.564279760383</v>
      </c>
      <c r="M635" s="2726">
        <f>'Part V-Revenues &amp; Expenses'!M197</f>
        <v>24743.73556535559</v>
      </c>
      <c r="N635" s="2726">
        <f>'Part V-Revenues &amp; Expenses'!N197</f>
        <v>25238.610276662701</v>
      </c>
      <c r="O635" s="2726">
        <f>'Part V-Revenues &amp; Expenses'!O197</f>
        <v>25743.382482195957</v>
      </c>
      <c r="P635" s="2726">
        <f>'Part V-Revenues &amp; Expenses'!P197</f>
        <v>26258.250131839875</v>
      </c>
      <c r="Q635" s="2726">
        <f>'Part V-Revenues &amp; Expenses'!Q197</f>
        <v>26783.415134476672</v>
      </c>
      <c r="R635" s="2718"/>
      <c r="S635" s="2674"/>
      <c r="T635" s="2674"/>
      <c r="U635" s="2674"/>
      <c r="V635" s="2674"/>
      <c r="W635" s="2674"/>
    </row>
    <row r="636" spans="2:380" ht="15.6" customHeight="1">
      <c r="B636" s="1418"/>
      <c r="C636" s="1418" t="s">
        <v>869</v>
      </c>
      <c r="D636" s="1418"/>
      <c r="E636" s="1418"/>
      <c r="F636" s="1418"/>
      <c r="H636" s="2727">
        <f>SUM(H634:H635)</f>
        <v>22411.16365182681</v>
      </c>
      <c r="I636" s="2727">
        <f>SUM(I634:I635)</f>
        <v>22859.386924863345</v>
      </c>
      <c r="J636" s="2727">
        <f t="shared" ref="J636:Q636" si="371">SUM(J634:J635)</f>
        <v>23316.574663360614</v>
      </c>
      <c r="K636" s="2727">
        <f t="shared" si="371"/>
        <v>23782.906156627825</v>
      </c>
      <c r="L636" s="2727">
        <f t="shared" si="371"/>
        <v>24258.564279760383</v>
      </c>
      <c r="M636" s="2727">
        <f t="shared" si="371"/>
        <v>24743.73556535559</v>
      </c>
      <c r="N636" s="2727">
        <f t="shared" si="371"/>
        <v>25238.610276662701</v>
      </c>
      <c r="O636" s="2727">
        <f t="shared" si="371"/>
        <v>25743.382482195957</v>
      </c>
      <c r="P636" s="2727">
        <f t="shared" si="371"/>
        <v>26258.250131839875</v>
      </c>
      <c r="Q636" s="2727">
        <f t="shared" si="371"/>
        <v>26783.415134476672</v>
      </c>
      <c r="R636" s="362"/>
      <c r="S636" s="2674"/>
      <c r="T636" s="2674"/>
      <c r="U636" s="2674"/>
      <c r="V636" s="2674"/>
      <c r="W636" s="2674"/>
    </row>
    <row r="637" spans="2:380" ht="15.6" customHeight="1">
      <c r="B637" s="2723" t="s">
        <v>5091</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5092</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t="str">
        <f>'Part V-Revenues &amp; Expenses'!C206</f>
        <v>Water &amp; Sewer Reimbursement</v>
      </c>
      <c r="D644" s="1418"/>
      <c r="E644" s="1418"/>
      <c r="F644" s="1418"/>
      <c r="H644" s="2726">
        <f>'Part V-Revenues &amp; Expenses'!H206</f>
        <v>27319.083437166206</v>
      </c>
      <c r="I644" s="2726">
        <f>'Part V-Revenues &amp; Expenses'!I206</f>
        <v>27865.46510590953</v>
      </c>
      <c r="J644" s="2726">
        <f>'Part V-Revenues &amp; Expenses'!J206</f>
        <v>28422.774408027723</v>
      </c>
      <c r="K644" s="2726">
        <f>'Part V-Revenues &amp; Expenses'!K206</f>
        <v>28991.229896188277</v>
      </c>
      <c r="L644" s="2726">
        <f>'Part V-Revenues &amp; Expenses'!L206</f>
        <v>29571.054494112042</v>
      </c>
      <c r="M644" s="2726">
        <f>'Part V-Revenues &amp; Expenses'!M206</f>
        <v>30162.475583994285</v>
      </c>
      <c r="N644" s="2726">
        <f>'Part V-Revenues &amp; Expenses'!N206</f>
        <v>30765.72509567417</v>
      </c>
      <c r="O644" s="2726">
        <f>'Part V-Revenues &amp; Expenses'!O206</f>
        <v>31381.039597587653</v>
      </c>
      <c r="P644" s="2726">
        <f>'Part V-Revenues &amp; Expenses'!P206</f>
        <v>32008.660389539407</v>
      </c>
      <c r="Q644" s="2726">
        <f>'Part V-Revenues &amp; Expenses'!Q206</f>
        <v>32648.833597330195</v>
      </c>
      <c r="R644" s="2718"/>
      <c r="S644" s="2674"/>
      <c r="T644" s="2674"/>
      <c r="U644" s="2674"/>
      <c r="V644" s="2674"/>
      <c r="W644" s="2674"/>
    </row>
    <row r="645" spans="2:343" ht="15.6" customHeight="1">
      <c r="B645" s="1418"/>
      <c r="C645" s="1418" t="s">
        <v>869</v>
      </c>
      <c r="D645" s="1418"/>
      <c r="E645" s="1418"/>
      <c r="F645" s="1418"/>
      <c r="H645" s="2727">
        <f>SUM(H643:H644)</f>
        <v>27319.083437166206</v>
      </c>
      <c r="I645" s="2727">
        <f>SUM(I643:I644)</f>
        <v>27865.46510590953</v>
      </c>
      <c r="J645" s="2727">
        <f t="shared" ref="J645:Q645" si="373">SUM(J643:J644)</f>
        <v>28422.774408027723</v>
      </c>
      <c r="K645" s="2727">
        <f t="shared" si="373"/>
        <v>28991.229896188277</v>
      </c>
      <c r="L645" s="2727">
        <f t="shared" si="373"/>
        <v>29571.054494112042</v>
      </c>
      <c r="M645" s="2727">
        <f t="shared" si="373"/>
        <v>30162.475583994285</v>
      </c>
      <c r="N645" s="2727">
        <f t="shared" si="373"/>
        <v>30765.72509567417</v>
      </c>
      <c r="O645" s="2727">
        <f t="shared" si="373"/>
        <v>31381.039597587653</v>
      </c>
      <c r="P645" s="2727">
        <f t="shared" si="373"/>
        <v>32008.660389539407</v>
      </c>
      <c r="Q645" s="2727">
        <f t="shared" si="373"/>
        <v>32648.833597330195</v>
      </c>
      <c r="R645" s="362"/>
      <c r="S645" s="2674"/>
      <c r="T645" s="2674"/>
      <c r="U645" s="2674"/>
      <c r="V645" s="2674"/>
      <c r="W645" s="2674"/>
    </row>
    <row r="646" spans="2:343" ht="15.6" customHeight="1">
      <c r="B646" s="2723" t="s">
        <v>5091</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5092</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t="str">
        <f>'Part V-Revenues &amp; Expenses'!C215</f>
        <v>Water &amp; Sewer Reimbursement</v>
      </c>
      <c r="D653" s="1418"/>
      <c r="E653" s="1418"/>
      <c r="F653" s="1418"/>
      <c r="H653" s="2726">
        <f>'Part V-Revenues &amp; Expenses'!H215</f>
        <v>33301.810269276801</v>
      </c>
      <c r="I653" s="2726">
        <f>'Part V-Revenues &amp; Expenses'!I215</f>
        <v>33967.846474662336</v>
      </c>
      <c r="J653" s="2726">
        <f>'Part V-Revenues &amp; Expenses'!J215</f>
        <v>34647.203404155582</v>
      </c>
      <c r="K653" s="2726">
        <f>'Part V-Revenues &amp; Expenses'!K215</f>
        <v>35340.147472238692</v>
      </c>
      <c r="L653" s="2726">
        <f>'Part V-Revenues &amp; Expenses'!L215</f>
        <v>36046.950421683468</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33301.810269276801</v>
      </c>
      <c r="I654" s="2727">
        <f>SUM(I652:I653)</f>
        <v>33967.846474662336</v>
      </c>
      <c r="J654" s="2727">
        <f>SUM(J652:J653)</f>
        <v>34647.203404155582</v>
      </c>
      <c r="K654" s="2727">
        <f>SUM(K652:K653)</f>
        <v>35340.147472238692</v>
      </c>
      <c r="L654" s="2727">
        <f>SUM(L652:L653)</f>
        <v>36046.950421683468</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5091</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5092</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53423</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76000</v>
      </c>
      <c r="G663" s="2713"/>
      <c r="I663" s="358" t="s">
        <v>1298</v>
      </c>
      <c r="L663" s="2713">
        <f>'Part V-Revenues &amp; Expenses'!L225</f>
        <v>0</v>
      </c>
      <c r="M663" s="2713"/>
      <c r="O663" s="2733">
        <f>+Q662/(P505*0.93)</f>
        <v>797.83452807646347</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76000</v>
      </c>
      <c r="G664" s="2713"/>
      <c r="I664" s="358" t="s">
        <v>1299</v>
      </c>
      <c r="L664" s="2713">
        <f>'Part V-Revenues &amp; Expenses'!L226</f>
        <v>0</v>
      </c>
      <c r="M664" s="2713"/>
      <c r="O664" s="2733">
        <f>+Q662/(P505*0.93)/12</f>
        <v>66.486210673038627</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4525</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3889</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152000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8000</v>
      </c>
      <c r="M670" s="2713"/>
      <c r="N670" s="1546" t="str">
        <f>IF(Q672="","",IF(Q670&lt;Q672, "WARNING! OE below required minimum.",""))</f>
        <v/>
      </c>
      <c r="O670" s="1657" t="s">
        <v>2024</v>
      </c>
      <c r="Q670" s="2718">
        <f>F669+F678+F689+L665+L673+L683+L689+Q662</f>
        <v>498004</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3000</v>
      </c>
      <c r="M671" s="2713"/>
      <c r="N671" s="1546"/>
      <c r="O671" s="2692" t="s">
        <v>2479</v>
      </c>
      <c r="P671" s="2733">
        <f>+Q670/P505</f>
        <v>6916.7222222222226</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4341</v>
      </c>
    </row>
    <row r="672" spans="1:380" s="358" customFormat="1" ht="16.5" customHeight="1">
      <c r="B672" s="358" t="s">
        <v>1292</v>
      </c>
      <c r="D672" s="2704"/>
      <c r="F672" s="2713">
        <f>'Part V-Revenues &amp; Expenses'!F234</f>
        <v>500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10000</v>
      </c>
      <c r="G673" s="2713"/>
      <c r="I673" s="1657"/>
      <c r="K673" s="2734" t="s">
        <v>184</v>
      </c>
      <c r="L673" s="2718">
        <f>SUM(L669:L672)</f>
        <v>12000</v>
      </c>
      <c r="M673" s="2718"/>
      <c r="N673" s="1546"/>
      <c r="O673" s="2737" t="s">
        <v>4828</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1000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10000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4342</v>
      </c>
    </row>
    <row r="676" spans="2:380" s="358" customFormat="1" ht="16.5" customHeight="1">
      <c r="B676" s="358" t="s">
        <v>1493</v>
      </c>
      <c r="D676" s="2704"/>
      <c r="F676" s="2713">
        <f>'Part V-Revenues &amp; Expenses'!F238</f>
        <v>3000</v>
      </c>
      <c r="G676" s="2713"/>
      <c r="I676" s="1657" t="s">
        <v>1295</v>
      </c>
      <c r="K676" s="1534" t="s">
        <v>3758</v>
      </c>
      <c r="O676" s="1657" t="s">
        <v>3000</v>
      </c>
      <c r="P676" s="1657"/>
      <c r="Q676" s="2738">
        <f>Q685</f>
        <v>21600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4000</v>
      </c>
      <c r="G677" s="2713"/>
      <c r="I677" s="358" t="s">
        <v>1288</v>
      </c>
      <c r="K677" s="2598">
        <f>L677/12/P505</f>
        <v>31.712962962962965</v>
      </c>
      <c r="L677" s="2713">
        <f>'Part V-Revenues &amp; Expenses'!L239</f>
        <v>27400</v>
      </c>
      <c r="M677" s="2713"/>
      <c r="N677" s="1546" t="str">
        <f>IF(Q676&lt;Q685, "WARNING! RR proposed is below the DCA required minimum.","")</f>
        <v/>
      </c>
      <c r="O677" s="361" t="s">
        <v>3757</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28500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3802</v>
      </c>
      <c r="K679" s="2598">
        <f>L679/12/P505</f>
        <v>31.828703703703702</v>
      </c>
      <c r="L679" s="2713">
        <f>'Part V-Revenues &amp; Expenses'!L241</f>
        <v>27500</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4275</v>
      </c>
    </row>
    <row r="680" spans="2:380" s="358" customFormat="1" ht="16.5" customHeight="1">
      <c r="B680" s="1657" t="s">
        <v>1214</v>
      </c>
      <c r="D680" s="2704"/>
      <c r="I680" s="358" t="s">
        <v>1291</v>
      </c>
      <c r="K680" s="2598">
        <f>L680/12/P505</f>
        <v>9.2592592592592595</v>
      </c>
      <c r="L680" s="2713">
        <f>'Part V-Revenues &amp; Expenses'!L242</f>
        <v>8000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7500</v>
      </c>
      <c r="G681" s="2713"/>
      <c r="I681" s="358" t="s">
        <v>5093</v>
      </c>
      <c r="K681" s="2598">
        <f>L681/12/P505</f>
        <v>15</v>
      </c>
      <c r="L681" s="2713">
        <f>'Part V-Revenues &amp; Expenses'!L243</f>
        <v>12960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7500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72 units x $300 =</v>
      </c>
      <c r="Q682" s="2743">
        <f>SUM(MK487:MO487)*'DCA Underwriting Assumptions'!$Q$42</f>
        <v>21600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12000</v>
      </c>
      <c r="G683" s="2713"/>
      <c r="K683" s="2734" t="s">
        <v>184</v>
      </c>
      <c r="L683" s="2718">
        <f>SUM(L677:L682)</f>
        <v>75860</v>
      </c>
      <c r="M683" s="2718"/>
      <c r="N683" s="1546"/>
      <c r="O683" s="2563" t="s">
        <v>4394</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4343</v>
      </c>
    </row>
    <row r="685" spans="2:380" s="358" customFormat="1" ht="16.5" customHeight="1">
      <c r="B685" s="358" t="s">
        <v>939</v>
      </c>
      <c r="D685" s="2704"/>
      <c r="F685" s="2713">
        <f>'Part V-Revenues &amp; Expenses'!F247</f>
        <v>2500</v>
      </c>
      <c r="G685" s="2713"/>
      <c r="I685" s="1657" t="s">
        <v>1296</v>
      </c>
      <c r="O685" s="2682" t="s">
        <v>2460</v>
      </c>
      <c r="P685" s="2672">
        <f>SUM(MF487:MJ487)+SUM(MK487:MO487)+SUM(MP487:MT487)+P563</f>
        <v>72</v>
      </c>
      <c r="Q685" s="2744">
        <f>SUM(Q681:Q684)</f>
        <v>21600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4000</v>
      </c>
      <c r="G686" s="2713"/>
      <c r="I686" s="358" t="s">
        <v>5094</v>
      </c>
      <c r="L686" s="2713">
        <f>'Part V-Revenues &amp; Expenses'!L248</f>
        <v>103996</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5000</v>
      </c>
      <c r="G687" s="2713"/>
      <c r="I687" s="358" t="s">
        <v>140</v>
      </c>
      <c r="L687" s="2713">
        <f>'Part V-Revenues &amp; Expenses'!L249</f>
        <v>30225</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4344</v>
      </c>
    </row>
    <row r="689" spans="1:380" s="358" customFormat="1" ht="16.5" customHeight="1">
      <c r="B689" s="1657"/>
      <c r="E689" s="2734" t="s">
        <v>184</v>
      </c>
      <c r="F689" s="2713">
        <f>SUM(F681:G688)</f>
        <v>42000</v>
      </c>
      <c r="G689" s="2713"/>
      <c r="K689" s="2734" t="s">
        <v>184</v>
      </c>
      <c r="L689" s="2718">
        <f>SUM(L685:L688)</f>
        <v>134221</v>
      </c>
      <c r="M689" s="2718"/>
      <c r="O689" s="1657" t="s">
        <v>2025</v>
      </c>
      <c r="Q689" s="2718">
        <f>Q670+Q676</f>
        <v>519604</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3747</v>
      </c>
      <c r="C693" s="2734"/>
      <c r="H693" s="2688"/>
      <c r="I693" s="2745" t="s">
        <v>3748</v>
      </c>
      <c r="K693" s="2718">
        <f>'Part V-Revenues &amp; Expenses'!K255</f>
        <v>10000</v>
      </c>
      <c r="L693" s="2718"/>
      <c r="M693" s="2735" t="s">
        <v>3775</v>
      </c>
      <c r="N693" s="2698">
        <f>'Part V-Revenues &amp; Expenses'!N255</f>
        <v>75</v>
      </c>
      <c r="O693" s="1657" t="s">
        <v>3750</v>
      </c>
      <c r="Q693" s="2698">
        <f>K693*N693</f>
        <v>750000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3776</v>
      </c>
      <c r="C695" s="2734"/>
      <c r="F695" s="2688"/>
      <c r="G695" s="2688"/>
      <c r="J695" s="1804" t="str">
        <f>'Part V-Revenues &amp; Expenses'!J257</f>
        <v>Yes</v>
      </c>
      <c r="K695" s="2745" t="s">
        <v>3778</v>
      </c>
      <c r="L695" s="1804" t="str">
        <f>'Part V-Revenues &amp; Expenses'!L257</f>
        <v>No</v>
      </c>
      <c r="M695" s="1804" t="s">
        <v>3779</v>
      </c>
      <c r="N695" s="2698" t="str">
        <f>'Part V-Revenues &amp; Expenses'!N257</f>
        <v>16-75</v>
      </c>
      <c r="O695" s="358" t="s">
        <v>3777</v>
      </c>
      <c r="Q695" s="2698">
        <f>'Part V-Revenues &amp; Expenses'!Q257</f>
        <v>5000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4345</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3746</v>
      </c>
      <c r="B697" s="360" t="s">
        <v>529</v>
      </c>
      <c r="N697" s="360" t="s">
        <v>4541</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project operating budget was derived from the Applicant's extensive experience operating similar mixed-income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approximately 85% of total charges. From property management's experience, this allocation allows for common area billing allocation as well as collection losses from resident billing. Monthly billing revenue is equal to approximately $21.28 per unit per month which is well below the utility allowance provided to the residents.
The ground lease option calls for annual payments of $10,000 per year for the first 15 years, followed by a one-time step up provision of an additional $5,000 per year for the remainder of the lease term ($15,000 per year, years 16 - 75), as reflected in the proforma. The option to ground lease is also included in folder "08Readiness".</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Wesley Square,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5095</v>
      </c>
    </row>
    <row r="705" spans="1:11">
      <c r="C705" s="1546"/>
    </row>
    <row r="706" spans="1:11" ht="12.6" customHeight="1">
      <c r="A706" s="356" t="s">
        <v>2026</v>
      </c>
      <c r="B706" s="2748">
        <f>'DCA Underwriting Assumptions'!$Q$114</f>
        <v>0.02</v>
      </c>
      <c r="C706" s="1546"/>
      <c r="D706" s="2674" t="s">
        <v>5096</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f>'Part VI-Pro Forma'!G9</f>
        <v>0</v>
      </c>
      <c r="H709" s="2754" t="s">
        <v>1353</v>
      </c>
      <c r="K709" s="2755">
        <f>'Part VI-Pro Forma'!K9</f>
        <v>0</v>
      </c>
    </row>
    <row r="710" spans="1:11">
      <c r="A710" s="356" t="s">
        <v>1334</v>
      </c>
      <c r="B710" s="2748">
        <v>0.02</v>
      </c>
      <c r="D710" s="358" t="s">
        <v>1595</v>
      </c>
      <c r="G710" s="2753" t="str">
        <f>'Part VI-Pro Forma'!G10</f>
        <v>Yes</v>
      </c>
      <c r="H710" s="2754" t="s">
        <v>2168</v>
      </c>
      <c r="K710" s="2756">
        <f>'Part VI-Pro Forma'!K10</f>
        <v>0.06</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919248</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18384.96</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3712</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-444581</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-21600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3711</v>
      </c>
      <c r="B724" s="2757">
        <f>'Part VI-Pro Forma'!B24</f>
        <v>-10000</v>
      </c>
      <c r="C724" s="2757">
        <f>'Part VI-Pro Forma'!C24</f>
        <v>-10000</v>
      </c>
      <c r="D724" s="2757">
        <f>'Part VI-Pro Forma'!D24</f>
        <v>-10000</v>
      </c>
      <c r="E724" s="2757">
        <f>'Part VI-Pro Forma'!E24</f>
        <v>-10000</v>
      </c>
      <c r="F724" s="2757">
        <f>'Part VI-Pro Forma'!F24</f>
        <v>-10000</v>
      </c>
      <c r="G724" s="2757">
        <f>'Part VI-Pro Forma'!G24</f>
        <v>-10000</v>
      </c>
      <c r="H724" s="2757">
        <f>'Part VI-Pro Forma'!H24</f>
        <v>-10000</v>
      </c>
      <c r="I724" s="2757">
        <f>'Part VI-Pro Forma'!I24</f>
        <v>-10000</v>
      </c>
      <c r="J724" s="2757">
        <f>'Part VI-Pro Forma'!J24</f>
        <v>-10000</v>
      </c>
      <c r="K724" s="2757">
        <f>'Part VI-Pro Forma'!K24</f>
        <v>-10000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-300978.66166959668</v>
      </c>
      <c r="C726" s="2757">
        <f>'Part VI-Pro Forma'!C26</f>
        <v>-300978.66166959668</v>
      </c>
      <c r="D726" s="2757">
        <f>'Part VI-Pro Forma'!D26</f>
        <v>-300978.66166959668</v>
      </c>
      <c r="E726" s="2757">
        <f>'Part VI-Pro Forma'!E26</f>
        <v>-300978.66166959668</v>
      </c>
      <c r="F726" s="2757">
        <f>'Part VI-Pro Forma'!F26</f>
        <v>-300978.66166959668</v>
      </c>
      <c r="G726" s="2757">
        <f>'Part VI-Pro Forma'!G26</f>
        <v>-300978.66166959668</v>
      </c>
      <c r="H726" s="2757">
        <f>'Part VI-Pro Forma'!H26</f>
        <v>-300978.66166959668</v>
      </c>
      <c r="I726" s="2757">
        <f>'Part VI-Pro Forma'!I26</f>
        <v>-300978.66166959668</v>
      </c>
      <c r="J726" s="2757">
        <f>'Part VI-Pro Forma'!J26</f>
        <v>-300978.66166959668</v>
      </c>
      <c r="K726" s="2757">
        <f>'Part VI-Pro Forma'!K26</f>
        <v>-300978.66166959668</v>
      </c>
    </row>
    <row r="727" spans="1:11">
      <c r="A727" s="356" t="s">
        <v>1485</v>
      </c>
      <c r="B727" s="2757">
        <f>'Part VI-Pro Forma'!B27</f>
        <v>-13075.237782600801</v>
      </c>
      <c r="C727" s="2757">
        <f>'Part VI-Pro Forma'!C27</f>
        <v>-13707.54834660083</v>
      </c>
      <c r="D727" s="2757">
        <f>'Part VI-Pro Forma'!D27</f>
        <v>-14316.819046880788</v>
      </c>
      <c r="E727" s="2757">
        <f>'Part VI-Pro Forma'!E27</f>
        <v>-14901.633303916402</v>
      </c>
      <c r="F727" s="2757">
        <f>'Part VI-Pro Forma'!F27</f>
        <v>-15460.514233125301</v>
      </c>
      <c r="G727" s="2757">
        <f>'Part VI-Pro Forma'!G27</f>
        <v>-15991.922479561719</v>
      </c>
      <c r="H727" s="2757">
        <f>'Part VI-Pro Forma'!H27</f>
        <v>-16493.753980529684</v>
      </c>
      <c r="I727" s="2757">
        <f>'Part VI-Pro Forma'!I27</f>
        <v>-16964.587653807786</v>
      </c>
      <c r="J727" s="2757">
        <f>'Part VI-Pro Forma'!J27</f>
        <v>-17402.183009111235</v>
      </c>
      <c r="K727" s="2757">
        <f>'Part VI-Pro Forma'!K27</f>
        <v>-17805.227680337004</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-7725</v>
      </c>
      <c r="D731" s="2757">
        <f>'Part VI-Pro Forma'!D31</f>
        <v>-7956.75</v>
      </c>
      <c r="E731" s="2757">
        <f>'Part VI-Pro Forma'!E31</f>
        <v>-8195.4524999999994</v>
      </c>
      <c r="F731" s="2757">
        <f>'Part VI-Pro Forma'!F31</f>
        <v>-8441.3160749999988</v>
      </c>
      <c r="G731" s="2757">
        <f>'Part VI-Pro Forma'!G31</f>
        <v>-8694.5555572499998</v>
      </c>
      <c r="H731" s="2757">
        <f>'Part VI-Pro Forma'!H31</f>
        <v>-8955.3922239674994</v>
      </c>
      <c r="I731" s="2757">
        <f>'Part VI-Pro Forma'!I31</f>
        <v>-9224.0539906865251</v>
      </c>
      <c r="J731" s="2757">
        <f>'Part VI-Pro Forma'!J31</f>
        <v>-9500.7756104071213</v>
      </c>
      <c r="K731" s="2757">
        <f>'Part VI-Pro Forma'!K31</f>
        <v>-9785.7988787193353</v>
      </c>
    </row>
    <row r="732" spans="1:11">
      <c r="A732" s="356" t="s">
        <v>3272</v>
      </c>
      <c r="B732" s="2757">
        <f>'Part VI-Pro Forma'!B32</f>
        <v>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3816153.8262158851</v>
      </c>
      <c r="C740" s="2757">
        <f>'Part VI-Pro Forma'!C40</f>
        <v>3789055.5875639175</v>
      </c>
      <c r="D740" s="2757">
        <f>'Part VI-Pro Forma'!D40</f>
        <v>3759940.5850535468</v>
      </c>
      <c r="E740" s="2757">
        <f>'Part VI-Pro Forma'!E40</f>
        <v>3728658.7227131203</v>
      </c>
      <c r="F740" s="2757">
        <f>'Part VI-Pro Forma'!F40</f>
        <v>3695048.7338032154</v>
      </c>
      <c r="G740" s="2757">
        <f>'Part VI-Pro Forma'!G40</f>
        <v>3658937.3494415479</v>
      </c>
      <c r="H740" s="2757">
        <f>'Part VI-Pro Forma'!H40</f>
        <v>3620138.4053534768</v>
      </c>
      <c r="I740" s="2757">
        <f>'Part VI-Pro Forma'!I40</f>
        <v>3578451.8821431613</v>
      </c>
      <c r="J740" s="2757">
        <f>'Part VI-Pro Forma'!J40</f>
        <v>3533662.8741376977</v>
      </c>
      <c r="K740" s="2757">
        <f>'Part VI-Pro Forma'!K40</f>
        <v>3485540.4814883368</v>
      </c>
    </row>
    <row r="741" spans="1:11">
      <c r="A741" s="356" t="s">
        <v>2400</v>
      </c>
      <c r="B741" s="2757">
        <f>'Part VI-Pro Forma'!B41</f>
        <v>1702844.5877477869</v>
      </c>
      <c r="C741" s="2757">
        <f>'Part VI-Pro Forma'!C41</f>
        <v>1767963.330415542</v>
      </c>
      <c r="D741" s="2757">
        <f>'Part VI-Pro Forma'!D41</f>
        <v>1835485.4138899904</v>
      </c>
      <c r="E741" s="2757">
        <f>'Part VI-Pro Forma'!E41</f>
        <v>1905547.4726558754</v>
      </c>
      <c r="F741" s="2757">
        <f>'Part VI-Pro Forma'!F41</f>
        <v>1978293.9974436741</v>
      </c>
      <c r="G741" s="2757">
        <f>'Part VI-Pro Forma'!G41</f>
        <v>2053877.7640280551</v>
      </c>
      <c r="H741" s="2757">
        <f>'Part VI-Pro Forma'!H41</f>
        <v>2132460.7947933651</v>
      </c>
      <c r="I741" s="2757">
        <f>'Part VI-Pro Forma'!I41</f>
        <v>2214214.090934969</v>
      </c>
      <c r="J741" s="2757">
        <f>'Part VI-Pro Forma'!J41</f>
        <v>2299318.8863373939</v>
      </c>
      <c r="K741" s="2757">
        <f>'Part VI-Pro Forma'!K41</f>
        <v>2387966.175268725</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52510</v>
      </c>
      <c r="C744" s="2757">
        <f>'Part VI-Pro Forma'!C44</f>
        <v>52510</v>
      </c>
      <c r="D744" s="2757">
        <f>'Part VI-Pro Forma'!D44</f>
        <v>52510</v>
      </c>
      <c r="E744" s="2757">
        <f>'Part VI-Pro Forma'!E44</f>
        <v>52510</v>
      </c>
      <c r="F744" s="2757">
        <f>'Part VI-Pro Forma'!F44</f>
        <v>52510</v>
      </c>
      <c r="G744" s="2757">
        <f>'Part VI-Pro Forma'!G44</f>
        <v>52510</v>
      </c>
      <c r="H744" s="2757">
        <f>'Part VI-Pro Forma'!H44</f>
        <v>52510</v>
      </c>
      <c r="I744" s="2757">
        <f>'Part VI-Pro Forma'!I44</f>
        <v>52510</v>
      </c>
      <c r="J744" s="2757">
        <f>'Part VI-Pro Forma'!J44</f>
        <v>52510</v>
      </c>
      <c r="K744" s="2757">
        <f>'Part VI-Pro Forma'!K44</f>
        <v>52510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3712</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3711</v>
      </c>
      <c r="B756" s="2757">
        <f>'Part VI-Pro Forma'!B56</f>
        <v>-10000</v>
      </c>
      <c r="C756" s="2757">
        <f>'Part VI-Pro Forma'!C56</f>
        <v>-10000</v>
      </c>
      <c r="D756" s="2757">
        <f>'Part VI-Pro Forma'!D56</f>
        <v>-10000</v>
      </c>
      <c r="E756" s="2757">
        <f>'Part VI-Pro Forma'!E56</f>
        <v>-10000</v>
      </c>
      <c r="F756" s="2757">
        <f>'Part VI-Pro Forma'!F56</f>
        <v>-10000</v>
      </c>
      <c r="G756" s="2757">
        <f>'Part VI-Pro Forma'!G56</f>
        <v>-15000</v>
      </c>
      <c r="H756" s="2757">
        <f>'Part VI-Pro Forma'!H56</f>
        <v>-15000</v>
      </c>
      <c r="I756" s="2757">
        <f>'Part VI-Pro Forma'!I56</f>
        <v>-15000</v>
      </c>
      <c r="J756" s="2757">
        <f>'Part VI-Pro Forma'!J56</f>
        <v>-15000</v>
      </c>
      <c r="K756" s="2757">
        <f>'Part VI-Pro Forma'!K56</f>
        <v>-15000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-300978.66166959668</v>
      </c>
      <c r="C758" s="2757">
        <f>'Part VI-Pro Forma'!C58</f>
        <v>-300978.66166959668</v>
      </c>
      <c r="D758" s="2757">
        <f>'Part VI-Pro Forma'!D58</f>
        <v>-300978.66166959668</v>
      </c>
      <c r="E758" s="2757">
        <f>'Part VI-Pro Forma'!E58</f>
        <v>-300978.66166959668</v>
      </c>
      <c r="F758" s="2757">
        <f>'Part VI-Pro Forma'!F58</f>
        <v>-300978.66166959668</v>
      </c>
      <c r="G758" s="2757">
        <f>'Part VI-Pro Forma'!G58</f>
        <v>-300978.66166959668</v>
      </c>
      <c r="H758" s="2757">
        <f>'Part VI-Pro Forma'!H58</f>
        <v>-300978.66166959668</v>
      </c>
      <c r="I758" s="2757">
        <f>'Part VI-Pro Forma'!I58</f>
        <v>-300978.66166959668</v>
      </c>
      <c r="J758" s="2757">
        <f>'Part VI-Pro Forma'!J58</f>
        <v>-300978.66166959668</v>
      </c>
      <c r="K758" s="2757">
        <f>'Part VI-Pro Forma'!K58</f>
        <v>-300978.66166959668</v>
      </c>
    </row>
    <row r="759" spans="1:11">
      <c r="A759" s="356" t="str">
        <f>$A727</f>
        <v>Mortgage B</v>
      </c>
      <c r="B759" s="2757">
        <f>'Part VI-Pro Forma'!B59</f>
        <v>-18171.084876068198</v>
      </c>
      <c r="C759" s="2757">
        <f>'Part VI-Pro Forma'!C59</f>
        <v>-18497.790745727194</v>
      </c>
      <c r="D759" s="2757">
        <f>'Part VI-Pro Forma'!D59</f>
        <v>-18783.551658693235</v>
      </c>
      <c r="E759" s="2757">
        <f>'Part VI-Pro Forma'!E59</f>
        <v>-19025.7413936097</v>
      </c>
      <c r="F759" s="2757">
        <f>'Part VI-Pro Forma'!F59</f>
        <v>-19221.898235026267</v>
      </c>
      <c r="G759" s="2757">
        <f>'Part VI-Pro Forma'!G59</f>
        <v>-18120.221974426866</v>
      </c>
      <c r="H759" s="2757">
        <f>'Part VI-Pro Forma'!H59</f>
        <v>-18217.570812606355</v>
      </c>
      <c r="I759" s="2757">
        <f>'Part VI-Pro Forma'!I59</f>
        <v>-18261.458160259543</v>
      </c>
      <c r="J759" s="2757">
        <f>'Part VI-Pro Forma'!J59</f>
        <v>-18249.299333557399</v>
      </c>
      <c r="K759" s="2757">
        <f>'Part VI-Pro Forma'!K59</f>
        <v>-18178.158141373598</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-10079.372845080916</v>
      </c>
      <c r="C763" s="2757">
        <f>'Part VI-Pro Forma'!C63</f>
        <v>-10381.754030433343</v>
      </c>
      <c r="D763" s="2757">
        <f>'Part VI-Pro Forma'!D63</f>
        <v>-10693.206651346343</v>
      </c>
      <c r="E763" s="2757">
        <f>'Part VI-Pro Forma'!E63</f>
        <v>-11014.002850886734</v>
      </c>
      <c r="F763" s="2757">
        <f>'Part VI-Pro Forma'!F63</f>
        <v>-11344.422936413337</v>
      </c>
      <c r="G763" s="2757">
        <f>'Part VI-Pro Forma'!G63</f>
        <v>-11684.755624505737</v>
      </c>
      <c r="H763" s="2757">
        <f>'Part VI-Pro Forma'!H63</f>
        <v>-12035.298293240909</v>
      </c>
      <c r="I763" s="2757">
        <f>'Part VI-Pro Forma'!I63</f>
        <v>-12396.357242038137</v>
      </c>
      <c r="J763" s="2757">
        <f>'Part VI-Pro Forma'!J63</f>
        <v>-12768.247959299282</v>
      </c>
      <c r="K763" s="2757">
        <f>'Part VI-Pro Forma'!K63</f>
        <v>-13151.29539807826</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3433836.6198172593</v>
      </c>
      <c r="C772" s="2757">
        <f>'Part VI-Pro Forma'!C72</f>
        <v>3378284.7412733026</v>
      </c>
      <c r="D772" s="2757">
        <f>'Part VI-Pro Forma'!D72</f>
        <v>3318598.4604033222</v>
      </c>
      <c r="E772" s="2757">
        <f>'Part VI-Pro Forma'!E72</f>
        <v>3254470.0777551769</v>
      </c>
      <c r="F772" s="2757">
        <f>'Part VI-Pro Forma'!F72</f>
        <v>3185568.9936010903</v>
      </c>
      <c r="G772" s="2757">
        <f>'Part VI-Pro Forma'!G72</f>
        <v>3111540.0036036973</v>
      </c>
      <c r="H772" s="2757">
        <f>'Part VI-Pro Forma'!H72</f>
        <v>3032001.4676384535</v>
      </c>
      <c r="I772" s="2757">
        <f>'Part VI-Pro Forma'!I72</f>
        <v>2946543.3423321759</v>
      </c>
      <c r="J772" s="2757">
        <f>'Part VI-Pro Forma'!J72</f>
        <v>2854725.0671749031</v>
      </c>
      <c r="K772" s="2757">
        <f>'Part VI-Pro Forma'!K72</f>
        <v>2756073.2933073873</v>
      </c>
    </row>
    <row r="773" spans="1:11">
      <c r="A773" s="356" t="s">
        <v>2400</v>
      </c>
      <c r="B773" s="2757">
        <f>'Part VI-Pro Forma'!B73</f>
        <v>2480358.5182545776</v>
      </c>
      <c r="C773" s="2757">
        <f>'Part VI-Pro Forma'!C73</f>
        <v>2576709.8923041741</v>
      </c>
      <c r="D773" s="2757">
        <f>'Part VI-Pro Forma'!D73</f>
        <v>2677246.0475161308</v>
      </c>
      <c r="E773" s="2757">
        <f>'Part VI-Pro Forma'!E73</f>
        <v>2782205.904242551</v>
      </c>
      <c r="F773" s="2757">
        <f>'Part VI-Pro Forma'!F73</f>
        <v>2891841.9970113724</v>
      </c>
      <c r="G773" s="2757">
        <f>'Part VI-Pro Forma'!G73</f>
        <v>3007696.8315791818</v>
      </c>
      <c r="H773" s="2757">
        <f>'Part VI-Pro Forma'!H73</f>
        <v>3128834.9881488197</v>
      </c>
      <c r="I773" s="2757">
        <f>'Part VI-Pro Forma'!I73</f>
        <v>3255556.5255304133</v>
      </c>
      <c r="J773" s="2757">
        <f>'Part VI-Pro Forma'!J73</f>
        <v>3388178.0828268575</v>
      </c>
      <c r="K773" s="2757">
        <f>'Part VI-Pro Forma'!K73</f>
        <v>3527034.0087012663</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52510</v>
      </c>
      <c r="C776" s="2757">
        <f>'Part VI-Pro Forma'!C76</f>
        <v>52510</v>
      </c>
      <c r="D776" s="2757">
        <f>'Part VI-Pro Forma'!D76</f>
        <v>52510</v>
      </c>
      <c r="E776" s="2757">
        <f>'Part VI-Pro Forma'!E76</f>
        <v>52510</v>
      </c>
      <c r="F776" s="2757">
        <f>'Part VI-Pro Forma'!F76</f>
        <v>52510</v>
      </c>
      <c r="G776" s="2757">
        <f>'Part VI-Pro Forma'!G76</f>
        <v>52510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3712</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3711</v>
      </c>
      <c r="B788" s="2757">
        <f>'Part VI-Pro Forma'!B88</f>
        <v>-15000</v>
      </c>
      <c r="C788" s="2757">
        <f>'Part VI-Pro Forma'!C88</f>
        <v>-15000</v>
      </c>
      <c r="D788" s="2757">
        <f>'Part VI-Pro Forma'!D88</f>
        <v>-15000</v>
      </c>
      <c r="E788" s="2757">
        <f>'Part VI-Pro Forma'!E88</f>
        <v>-15000</v>
      </c>
      <c r="F788" s="2757">
        <f>'Part VI-Pro Forma'!F88</f>
        <v>-15000</v>
      </c>
      <c r="G788" s="2757">
        <f>'Part VI-Pro Forma'!G88</f>
        <v>-15000</v>
      </c>
      <c r="H788" s="2757">
        <f>'Part VI-Pro Forma'!H88</f>
        <v>-15000</v>
      </c>
      <c r="I788" s="2757">
        <f>'Part VI-Pro Forma'!I88</f>
        <v>-15000</v>
      </c>
      <c r="J788" s="2757">
        <f>'Part VI-Pro Forma'!J88</f>
        <v>-15000</v>
      </c>
      <c r="K788" s="2757">
        <f>'Part VI-Pro Forma'!K88</f>
        <v>-15000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-300978.66166959668</v>
      </c>
      <c r="C790" s="2757">
        <f>'Part VI-Pro Forma'!C90</f>
        <v>-300978.66166959668</v>
      </c>
      <c r="D790" s="2757">
        <f>'Part VI-Pro Forma'!D90</f>
        <v>-300978.66166959668</v>
      </c>
      <c r="E790" s="2757">
        <f>'Part VI-Pro Forma'!E90</f>
        <v>-300978.66166959668</v>
      </c>
      <c r="F790" s="2757">
        <f>'Part VI-Pro Forma'!F90</f>
        <v>-300978.66166959668</v>
      </c>
      <c r="G790" s="2757">
        <f>'Part VI-Pro Forma'!G90</f>
        <v>-300978.66166959668</v>
      </c>
      <c r="H790" s="2757">
        <f>'Part VI-Pro Forma'!H90</f>
        <v>-300978.66166959668</v>
      </c>
      <c r="I790" s="2757">
        <f>'Part VI-Pro Forma'!I90</f>
        <v>-300978.66166959668</v>
      </c>
      <c r="J790" s="2757">
        <f>'Part VI-Pro Forma'!J90</f>
        <v>-300978.66166959668</v>
      </c>
      <c r="K790" s="2757">
        <f>'Part VI-Pro Forma'!K90</f>
        <v>-300978.66166959668</v>
      </c>
    </row>
    <row r="791" spans="1:11">
      <c r="A791" s="356" t="str">
        <f>$A759</f>
        <v>Mortgage B</v>
      </c>
      <c r="B791" s="2757">
        <f>'Part VI-Pro Forma'!B91</f>
        <v>-18044.993360730063</v>
      </c>
      <c r="C791" s="2757">
        <f>'Part VI-Pro Forma'!C91</f>
        <v>-17847.155096919043</v>
      </c>
      <c r="D791" s="2757">
        <f>'Part VI-Pro Forma'!D91</f>
        <v>-17580.881024650618</v>
      </c>
      <c r="E791" s="2757">
        <f>'Part VI-Pro Forma'!E91</f>
        <v>-17243.292506459999</v>
      </c>
      <c r="F791" s="2757">
        <f>'Part VI-Pro Forma'!F91</f>
        <v>-16830.890584494831</v>
      </c>
      <c r="G791" s="2757">
        <f>'Part VI-Pro Forma'!G91</f>
        <v>-16340.301841677036</v>
      </c>
      <c r="H791" s="2757">
        <f>'Part VI-Pro Forma'!H91</f>
        <v>-15767.524128117249</v>
      </c>
      <c r="I791" s="2757">
        <f>'Part VI-Pro Forma'!I91</f>
        <v>-15108.922148523983</v>
      </c>
      <c r="J791" s="2757">
        <f>'Part VI-Pro Forma'!J91</f>
        <v>-14360.472906223789</v>
      </c>
      <c r="K791" s="2757">
        <f>'Part VI-Pro Forma'!K91</f>
        <v>-13518.260999268954</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-13545.834260020609</v>
      </c>
      <c r="C795" s="2757">
        <f>'Part VI-Pro Forma'!C95</f>
        <v>-13952.209287821228</v>
      </c>
      <c r="D795" s="2757">
        <f>'Part VI-Pro Forma'!D95</f>
        <v>-14370.775566455864</v>
      </c>
      <c r="E795" s="2757">
        <f>'Part VI-Pro Forma'!E95</f>
        <v>-14801.898833449541</v>
      </c>
      <c r="F795" s="2757">
        <f>'Part VI-Pro Forma'!F95</f>
        <v>-15245.955798453027</v>
      </c>
      <c r="G795" s="2757">
        <f>'Part VI-Pro Forma'!G95</f>
        <v>-15703.334472406619</v>
      </c>
      <c r="H795" s="2757">
        <f>'Part VI-Pro Forma'!H95</f>
        <v>-16174.434506578818</v>
      </c>
      <c r="I795" s="2757">
        <f>'Part VI-Pro Forma'!I95</f>
        <v>-16659.667541776183</v>
      </c>
      <c r="J795" s="2757">
        <f>'Part VI-Pro Forma'!J95</f>
        <v>-17159.457568029469</v>
      </c>
      <c r="K795" s="2757">
        <f>'Part VI-Pro Forma'!K95</f>
        <v>-17674.241295070355</v>
      </c>
    </row>
    <row r="796" spans="1:11">
      <c r="A796" s="356" t="s">
        <v>1095</v>
      </c>
      <c r="B796" s="2757">
        <f>'Part VI-Pro Forma'!B96</f>
        <v>54134.980082190217</v>
      </c>
      <c r="C796" s="2757">
        <f>'Part VI-Pro Forma'!C96</f>
        <v>53541.4652907571</v>
      </c>
      <c r="D796" s="2757">
        <f>'Part VI-Pro Forma'!D96</f>
        <v>52742.64307395184</v>
      </c>
      <c r="E796" s="2757">
        <f>'Part VI-Pro Forma'!E96</f>
        <v>51729.877519379981</v>
      </c>
      <c r="F796" s="2757">
        <f>'Part VI-Pro Forma'!F96</f>
        <v>50492.671753484479</v>
      </c>
      <c r="G796" s="2757">
        <f>'Part VI-Pro Forma'!G96</f>
        <v>49020.905525031085</v>
      </c>
      <c r="H796" s="2757">
        <f>'Part VI-Pro Forma'!H96</f>
        <v>47302.572384351763</v>
      </c>
      <c r="I796" s="2757">
        <f>'Part VI-Pro Forma'!I96</f>
        <v>45326.766445571964</v>
      </c>
      <c r="J796" s="2757">
        <f>'Part VI-Pro Forma'!J96</f>
        <v>43081.418718671368</v>
      </c>
      <c r="K796" s="2757">
        <f>'Part VI-Pro Forma'!K96</f>
        <v>40554.782997806833</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2650079.4432754903</v>
      </c>
      <c r="C803" s="2757">
        <f>'Part VI-Pro Forma'!C103</f>
        <v>2536197.0891713267</v>
      </c>
      <c r="D803" s="2757">
        <f>'Part VI-Pro Forma'!D103</f>
        <v>2413839.1356447474</v>
      </c>
      <c r="E803" s="2757">
        <f>'Part VI-Pro Forma'!E103</f>
        <v>2282374.7932627946</v>
      </c>
      <c r="F803" s="2757">
        <f>'Part VI-Pro Forma'!F103</f>
        <v>2141126.3266139547</v>
      </c>
      <c r="G803" s="2757">
        <f>'Part VI-Pro Forma'!G103</f>
        <v>1989365.560392777</v>
      </c>
      <c r="H803" s="2757">
        <f>'Part VI-Pro Forma'!H103</f>
        <v>1826310.1254527462</v>
      </c>
      <c r="I803" s="2757">
        <f>'Part VI-Pro Forma'!I103</f>
        <v>1651119.4254747673</v>
      </c>
      <c r="J803" s="2757">
        <f>'Part VI-Pro Forma'!J103</f>
        <v>1462890.303458306</v>
      </c>
      <c r="K803" s="2757">
        <f>'Part VI-Pro Forma'!K103</f>
        <v>1260652.385694741</v>
      </c>
    </row>
    <row r="804" spans="1:11">
      <c r="A804" s="356" t="s">
        <v>2400</v>
      </c>
      <c r="B804" s="2757">
        <f>'Part VI-Pro Forma'!B104</f>
        <v>3672477.2914302698</v>
      </c>
      <c r="C804" s="2757">
        <f>'Part VI-Pro Forma'!C104</f>
        <v>3824880.0253252294</v>
      </c>
      <c r="D804" s="2757">
        <f>'Part VI-Pro Forma'!D104</f>
        <v>3984635.4343420733</v>
      </c>
      <c r="E804" s="2757">
        <f>'Part VI-Pro Forma'!E104</f>
        <v>4152157.9514335571</v>
      </c>
      <c r="F804" s="2757">
        <f>'Part VI-Pro Forma'!F104</f>
        <v>4327884.8373611746</v>
      </c>
      <c r="G804" s="2757">
        <f>'Part VI-Pro Forma'!G104</f>
        <v>4512277.1131048743</v>
      </c>
      <c r="H804" s="2757">
        <f>'Part VI-Pro Forma'!H104</f>
        <v>4705821.3057972686</v>
      </c>
      <c r="I804" s="2757">
        <f>'Part VI-Pro Forma'!I104</f>
        <v>4909030.259161409</v>
      </c>
      <c r="J804" s="2757">
        <f>'Part VI-Pro Forma'!J104</f>
        <v>5122444.7520944811</v>
      </c>
      <c r="K804" s="2757">
        <f>'Part VI-Pro Forma'!K104</f>
        <v>5346634.6866956912</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3712</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3711</v>
      </c>
      <c r="B818" s="2757">
        <f>'Part VI-Pro Forma'!B118</f>
        <v>-15000</v>
      </c>
      <c r="C818" s="2757">
        <f>'Part VI-Pro Forma'!C118</f>
        <v>-15000</v>
      </c>
      <c r="D818" s="2757">
        <f>'Part VI-Pro Forma'!D118</f>
        <v>-15000</v>
      </c>
      <c r="E818" s="2757">
        <f>'Part VI-Pro Forma'!E118</f>
        <v>-15000</v>
      </c>
      <c r="F818" s="2757">
        <f>'Part VI-Pro Forma'!F118</f>
        <v>-15000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-300978.66166959668</v>
      </c>
      <c r="C820" s="2757">
        <f>'Part VI-Pro Forma'!C120</f>
        <v>-300978.66166959668</v>
      </c>
      <c r="D820" s="2757">
        <f>'Part VI-Pro Forma'!D120</f>
        <v>-300978.66166959668</v>
      </c>
      <c r="E820" s="2757">
        <f>'Part VI-Pro Forma'!E120</f>
        <v>-300978.66166959668</v>
      </c>
      <c r="F820" s="2757">
        <f>'Part VI-Pro Forma'!F120</f>
        <v>-300978.66166959668</v>
      </c>
      <c r="G820" s="2757"/>
      <c r="H820" s="2757"/>
      <c r="I820" s="2757"/>
      <c r="J820" s="2757"/>
      <c r="K820" s="2757"/>
    </row>
    <row r="821" spans="1:11">
      <c r="A821" s="356" t="str">
        <f>$A791</f>
        <v>Mortgage B</v>
      </c>
      <c r="B821" s="2757">
        <f>'Part VI-Pro Forma'!B121</f>
        <v>-12577.973763972317</v>
      </c>
      <c r="C821" s="2757">
        <f>'Part VI-Pro Forma'!C121</f>
        <v>-11534.896261060669</v>
      </c>
      <c r="D821" s="2757">
        <f>'Part VI-Pro Forma'!D121</f>
        <v>-10384.906099494794</v>
      </c>
      <c r="E821" s="2757">
        <f>'Part VI-Pro Forma'!E121</f>
        <v>-9123.2180928434536</v>
      </c>
      <c r="F821" s="2757">
        <f>'Part VI-Pro Forma'!F121</f>
        <v>-7744.6287429495133</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-18204.468533922467</v>
      </c>
      <c r="C825" s="2757">
        <f>'Part VI-Pro Forma'!C125</f>
        <v>-18750.602589940143</v>
      </c>
      <c r="D825" s="2757">
        <f>'Part VI-Pro Forma'!D125</f>
        <v>-19313.120667638348</v>
      </c>
      <c r="E825" s="2757">
        <f>'Part VI-Pro Forma'!E125</f>
        <v>-19892.514287667498</v>
      </c>
      <c r="F825" s="2757">
        <f>'Part VI-Pro Forma'!F125</f>
        <v>-20489.289716297524</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1043363.0792198076</v>
      </c>
      <c r="C833" s="2757">
        <f>'Part VI-Pro Forma'!C133</f>
        <v>809902.19695560308</v>
      </c>
      <c r="D833" s="2757">
        <f>'Part VI-Pro Forma'!D133</f>
        <v>559066.18283325888</v>
      </c>
      <c r="E833" s="2757">
        <f>'Part VI-Pro Forma'!E133</f>
        <v>289561.9071251743</v>
      </c>
      <c r="F833" s="2757">
        <f>'Part VI-Pro Forma'!F133</f>
        <v>1.5425030142068863E-8</v>
      </c>
      <c r="G833" s="2757"/>
      <c r="H833" s="2757"/>
      <c r="I833" s="2757"/>
      <c r="J833" s="2757"/>
      <c r="K833" s="2757"/>
    </row>
    <row r="834" spans="1:17">
      <c r="A834" s="356" t="s">
        <v>2400</v>
      </c>
      <c r="B834" s="2757">
        <f>'Part VI-Pro Forma'!B134</f>
        <v>5582200.8470100956</v>
      </c>
      <c r="C834" s="2757">
        <f>'Part VI-Pro Forma'!C134</f>
        <v>5829776.74460511</v>
      </c>
      <c r="D834" s="2757">
        <f>'Part VI-Pro Forma'!D134</f>
        <v>6090029.534059762</v>
      </c>
      <c r="E834" s="2757">
        <f>'Part VI-Pro Forma'!E134</f>
        <v>6363662.2528449446</v>
      </c>
      <c r="F834" s="2757">
        <f>'Part VI-Pro Forma'!F134</f>
        <v>6651415.9156234944</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The debt service coverage ratio for the first mortgage meets DCA's requirment of not going below 1.20 for new construction projects during the 15-year Compliance period for tax credit only projects.
Per Gwinnett County financning Commitment Letter, payments on the ARPA loan are sized to 25% of available cash flow subject to availability.</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Wesley Square,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4650</v>
      </c>
      <c r="Q846" s="2761" t="s">
        <v>4424</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4651</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5097</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4526</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4653</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This application is submitted in accordance with the 2024-2025 Qualified Allocation Plan. All financial information and data presented within the parameters of the "Project Feasibility, Viability Analysis, and Conformance with Plan" section of the Threshold Criteria.
Construction hard cost estimates were based on the developer's extensive experience buidling communities with a similiar tenancy, unit mix and amenity package in similar areas within Georgia.
Water and Sewer Tap Fees were obtained from Gwinnett County with the assistance of the project Engineer. Letters are provided, and can be found in folder "52AddlDoc".</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5098</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The tenancy characteristics for the proposed development will meet the DCA definition of a "Family" project. The property meets the requirements of local zoning for Family tenancy.</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4790</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5013</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This property will provide services as appropriate to a Family tenancy and clientele.</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3888</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Real Property Research Group</v>
      </c>
      <c r="J896" s="2772"/>
      <c r="K896" s="2772"/>
      <c r="L896" s="2772"/>
      <c r="M896" s="2772"/>
      <c r="N896" s="2772"/>
      <c r="O896" s="2772"/>
      <c r="P896" s="2772"/>
      <c r="Q896" s="2772"/>
    </row>
    <row r="897" spans="1:17" ht="15">
      <c r="A897" s="2774"/>
      <c r="B897" s="2484" t="s">
        <v>4655</v>
      </c>
      <c r="C897" s="2484"/>
      <c r="D897" s="2484"/>
      <c r="E897" s="2484"/>
      <c r="F897" s="2484"/>
      <c r="G897" s="2484"/>
      <c r="H897" s="2484"/>
      <c r="I897" s="2484">
        <f>'Part VII-Threshold Criteria'!I54</f>
        <v>0.95099999999999996</v>
      </c>
      <c r="J897" s="2484"/>
      <c r="K897" s="2484"/>
      <c r="L897" s="2779"/>
      <c r="M897" s="2780"/>
      <c r="N897" s="2780"/>
      <c r="O897" s="2780"/>
      <c r="P897" s="2780"/>
      <c r="Q897" s="2487"/>
    </row>
    <row r="898" spans="1:17" ht="15">
      <c r="A898" s="2774"/>
      <c r="B898" s="2484" t="s">
        <v>4656</v>
      </c>
      <c r="C898" s="2484"/>
      <c r="D898" s="2484"/>
      <c r="E898" s="2484"/>
      <c r="F898" s="2484"/>
      <c r="G898" s="2484"/>
      <c r="H898" s="2779" t="s">
        <v>4657</v>
      </c>
      <c r="I898" s="2484">
        <f>'Part VII-Threshold Criteria'!I55</f>
        <v>1.2999999999999999E-2</v>
      </c>
      <c r="J898" s="2484"/>
      <c r="K898" s="2484"/>
      <c r="L898" s="2780"/>
      <c r="M898" s="2781" t="s">
        <v>4658</v>
      </c>
      <c r="N898" s="2484">
        <f>'Part VII-Threshold Criteria'!N55</f>
        <v>2E-3</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All capture rates are within DCA thresholds and indicate sufficient demand in the market area to support the proposed Wesley Square development.</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4659</v>
      </c>
      <c r="C906" s="2484"/>
      <c r="D906" s="2484"/>
      <c r="E906" s="2484"/>
      <c r="F906" s="2484"/>
      <c r="G906" s="2484"/>
      <c r="H906" s="2484"/>
      <c r="I906" s="2484"/>
      <c r="J906" s="2484" t="str">
        <f>'Part VII-Threshold Criteria'!J63</f>
        <v>Newmark Valuation &amp; Advisory</v>
      </c>
      <c r="K906" s="2484"/>
      <c r="L906" s="2484"/>
      <c r="M906" s="2484"/>
      <c r="N906" s="2484"/>
      <c r="O906" s="2484"/>
      <c r="P906" s="2484"/>
      <c r="Q906" s="2484"/>
    </row>
    <row r="907" spans="1:17" ht="15">
      <c r="A907" s="2774"/>
      <c r="B907" s="2484" t="s">
        <v>3821</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4792</v>
      </c>
      <c r="D908" s="2484"/>
      <c r="E908" s="2484"/>
      <c r="F908" s="2484"/>
      <c r="G908" s="2484"/>
      <c r="H908" s="2484"/>
      <c r="I908" s="2484"/>
      <c r="J908" s="2484"/>
      <c r="K908" s="2484"/>
      <c r="L908" s="2484"/>
      <c r="M908" s="2484"/>
      <c r="N908" s="2484"/>
      <c r="O908" s="2484"/>
      <c r="P908" s="2487" t="str">
        <f>'Part VII-Threshold Criteria'!P65</f>
        <v>N/a</v>
      </c>
      <c r="Q908" s="2487"/>
    </row>
    <row r="909" spans="1:17" ht="15">
      <c r="A909" s="2484"/>
      <c r="B909" s="2776" t="s">
        <v>4653</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 Applicant will commission an appraisal during Threshold Review.</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4997</v>
      </c>
      <c r="C916" s="2484"/>
      <c r="D916" s="2484"/>
      <c r="E916" s="2484"/>
      <c r="F916" s="2484"/>
      <c r="G916" s="2484"/>
      <c r="H916" s="2484"/>
      <c r="I916" s="2484"/>
      <c r="J916" s="2484"/>
      <c r="K916" s="2484"/>
      <c r="L916" s="2782" t="str">
        <f>'Part VII-Threshold Criteria'!L73</f>
        <v>CHA</v>
      </c>
      <c r="M916" s="2782"/>
      <c r="N916" s="2782"/>
      <c r="O916" s="2782"/>
      <c r="P916" s="2782"/>
      <c r="Q916" s="2782"/>
    </row>
    <row r="917" spans="1:17" ht="15">
      <c r="A917" s="2484"/>
      <c r="B917" s="2484" t="s">
        <v>4660</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4524</v>
      </c>
      <c r="C918" s="2484"/>
      <c r="D918" s="2484"/>
      <c r="E918" s="2484"/>
      <c r="F918" s="2484"/>
      <c r="G918" s="2484"/>
      <c r="H918" s="2484"/>
      <c r="I918" s="2484"/>
      <c r="J918" s="2484"/>
      <c r="K918" s="2484"/>
      <c r="L918" s="2485"/>
      <c r="M918" s="2484"/>
      <c r="N918" s="2484"/>
      <c r="O918" s="2779"/>
      <c r="P918" s="2487" t="str">
        <f>'Part VII-Threshold Criteria'!P75</f>
        <v>Yes</v>
      </c>
      <c r="Q918" s="2487"/>
    </row>
    <row r="919" spans="1:17" ht="15">
      <c r="A919" s="2774"/>
      <c r="B919" s="2484" t="s">
        <v>4661</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4662</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4663</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4664</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4665</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4818</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N/A.</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A Phase I Environmental Site Assessment was completed in accord with the 2024 DCA Environmental Review Manual and associated documents and instructions, and is included in folder "08Readiness". In addition, a Phase II Environmental Site Assessment was completed in accord with the 2023 DCA Environmental Review Manual and associated documents and instructions, and is included in folder "08Readiness". Environmental requirements will be updated as required upon Threshold Review. Per the 2024 QAP and Environmental Manual, Phase II Environmental Site Assessment and all radon and asbestos testing will be updated upon Threshold Review.</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Ground lease/Option:</v>
      </c>
      <c r="G933" s="2484"/>
      <c r="H933" s="2788" t="str">
        <f>IF(L933="Ground lease/Option","Annual Pymt:","")</f>
        <v>Annual Pymt:</v>
      </c>
      <c r="I933" s="2789" t="str">
        <f>IF(M973="Ground lease/Option",'Part V-Revenues &amp; Expenses'!$K$255,"")</f>
        <v/>
      </c>
      <c r="J933" s="2790" t="str">
        <f>IF(L933="Ground lease/Option","Term (yrs):","")</f>
        <v>Term (yrs):</v>
      </c>
      <c r="K933" s="2791" t="str">
        <f>IF(M973="Ground lease/Option",'Part V-Revenues &amp; Expenses'!$N$255,"")</f>
        <v/>
      </c>
      <c r="L933" s="2489" t="str">
        <f>'Part VII-Threshold Criteria'!L90</f>
        <v>Ground lease/Option</v>
      </c>
      <c r="M933" s="2489"/>
      <c r="N933" s="2489"/>
      <c r="O933" s="2489" t="s">
        <v>1641</v>
      </c>
      <c r="P933" s="2489"/>
      <c r="Q933" s="2489"/>
    </row>
    <row r="934" spans="1:17" ht="15">
      <c r="A934" s="2774"/>
      <c r="B934" s="2484" t="s">
        <v>635</v>
      </c>
      <c r="C934" s="2484"/>
      <c r="D934" s="2484"/>
      <c r="E934" s="2484"/>
      <c r="F934" s="2484"/>
      <c r="G934" s="2484" t="str">
        <f>'Part VII-Threshold Criteria'!G91</f>
        <v>The Nett United Methodist Church is the groundlessor. Wesley Square, L.P. is the optionee.</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Nett Church and the optionee have agreed to certain terms whereby the optionee, under the leadership OneStreet Residential, LLC (an affiliate of the optionee) may elect to participate in a long-term ground lease with Nett Church in an effort to support the construction, development, and management of an affordable housing community.</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The proposed site has pedestrian and vehicular access via Jimmy Carter Boulevard (Primary Access Point).</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Gwinnett County Board of Commissioners confirmed current zoning status on May 7, 2024. Zoning Verification Letter is provided in folder "08Readiness".</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4666</v>
      </c>
      <c r="C956" s="2484"/>
      <c r="D956" s="2484"/>
      <c r="E956" s="2484"/>
      <c r="F956" s="2484"/>
      <c r="G956" s="2484"/>
      <c r="H956" s="2484" t="s">
        <v>4667</v>
      </c>
      <c r="I956" s="2484"/>
      <c r="J956" s="2489" t="str">
        <f>'Part VII-Threshold Criteria'!J113</f>
        <v>Atlanta Gas Light</v>
      </c>
      <c r="K956" s="2489"/>
      <c r="L956" s="2489"/>
      <c r="M956" s="2489"/>
      <c r="N956" s="2489"/>
      <c r="O956" s="2489"/>
      <c r="P956" s="2489"/>
      <c r="Q956" s="2489"/>
    </row>
    <row r="957" spans="1:17" ht="15">
      <c r="A957" s="2774"/>
      <c r="B957" s="2774"/>
      <c r="C957" s="2484"/>
      <c r="D957" s="2484"/>
      <c r="E957" s="2484"/>
      <c r="F957" s="2484"/>
      <c r="G957" s="2484"/>
      <c r="H957" s="2484" t="s">
        <v>4668</v>
      </c>
      <c r="I957" s="2484"/>
      <c r="J957" s="2489" t="str">
        <f>'Part VII-Threshold Criteria'!J114</f>
        <v>Georgia Power</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Please find enclosed the gas and electric utility availability letters provided by Atlanta Gas Light and Georgia Power, respectively, stating that the proposed project will have the necessary gas and electric services provided, included in folder "08Readiness".</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4669</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4670</v>
      </c>
      <c r="C965" s="2484"/>
      <c r="D965" s="2484"/>
      <c r="E965" s="2484"/>
      <c r="F965" s="2484"/>
      <c r="G965" s="2484"/>
      <c r="H965" s="2484" t="s">
        <v>4671</v>
      </c>
      <c r="I965" s="2484"/>
      <c r="J965" s="2489" t="str">
        <f>'Part VII-Threshold Criteria'!J122</f>
        <v>Gwinnett County Department of Water Resources</v>
      </c>
      <c r="K965" s="2489"/>
      <c r="L965" s="2489"/>
      <c r="M965" s="2489"/>
      <c r="N965" s="2489"/>
      <c r="O965" s="2489"/>
      <c r="P965" s="2489"/>
      <c r="Q965" s="2489"/>
    </row>
    <row r="966" spans="1:17" ht="15">
      <c r="A966" s="2484"/>
      <c r="B966" s="2774"/>
      <c r="C966" s="2484"/>
      <c r="D966" s="2484"/>
      <c r="E966" s="2484"/>
      <c r="F966" s="2484"/>
      <c r="G966" s="2484"/>
      <c r="H966" s="2484" t="s">
        <v>4672</v>
      </c>
      <c r="I966" s="2484"/>
      <c r="J966" s="2489" t="str">
        <f>'Part VII-Threshold Criteria'!J123</f>
        <v>Gwinnett County Department of Water Resources</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The required availability and capacity letters from the Gwinnett County Department of Water Resources are included in the application in folder "08Readiness".</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4998</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5099</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5">
      <c r="A977" s="2774"/>
      <c r="B977" s="2485"/>
      <c r="C977" s="2485" t="s">
        <v>4609</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3660</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5100</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5101</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Covered pavilion with picnic/BBQ facilities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All required amenities are included on the conceptual site development plan cover sheet in the application, included in folder "08Readiness".</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3824</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4677</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N/A - this is not a rehabilitation project.</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A Conceptual Site Developent Plan, Existing Conditions Site Plan, Color Site Photos, Site Vicinity Map, and Aerial Photographs are included in folder "08Readiness".</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4093</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4999</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Applicant agrees to all building sustainability requirements per the 2024-2025 QAP.</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4677</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5000</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5018</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5102</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5035</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4678</v>
      </c>
      <c r="M1025" s="2798"/>
      <c r="N1025" s="2486"/>
      <c r="O1025" s="2484"/>
      <c r="P1025" s="2487"/>
      <c r="Q1025" s="2487"/>
    </row>
    <row r="1026" spans="1:17" ht="15">
      <c r="A1026" s="2774" t="s">
        <v>1838</v>
      </c>
      <c r="B1026" s="2773" t="s">
        <v>4793</v>
      </c>
      <c r="C1026" s="2484"/>
      <c r="D1026" s="2799"/>
      <c r="E1026" s="2799"/>
      <c r="F1026" s="2799"/>
      <c r="G1026" s="2799"/>
      <c r="H1026" s="2799"/>
      <c r="I1026" s="2799"/>
      <c r="J1026" s="2799"/>
      <c r="K1026" s="2799"/>
      <c r="L1026" s="2484" t="s">
        <v>4679</v>
      </c>
      <c r="M1026" s="2486" t="s">
        <v>4680</v>
      </c>
      <c r="N1026" s="2799"/>
      <c r="O1026" s="2779"/>
      <c r="P1026" s="2779"/>
      <c r="Q1026" s="2779"/>
    </row>
    <row r="1027" spans="1:17" ht="15">
      <c r="A1027" s="2774"/>
      <c r="B1027" s="2484" t="s">
        <v>4681</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4794</v>
      </c>
      <c r="O1027" s="2779"/>
      <c r="P1027" s="2489">
        <f>'Part VII-Threshold Criteria'!P184</f>
        <v>4</v>
      </c>
      <c r="Q1027" s="2489"/>
    </row>
    <row r="1028" spans="1:17" ht="14.1" customHeight="1">
      <c r="A1028" s="2774"/>
      <c r="B1028" s="2485"/>
      <c r="C1028" s="2484"/>
      <c r="D1028" s="2484" t="s">
        <v>4795</v>
      </c>
      <c r="E1028" s="2484"/>
      <c r="F1028" s="2484"/>
      <c r="G1028" s="2484"/>
      <c r="H1028" s="2484"/>
      <c r="I1028" s="2484"/>
      <c r="J1028" s="2484"/>
      <c r="K1028" s="2800"/>
      <c r="L1028" s="2794">
        <f>ROUNDUP(L1027*M1028,0)</f>
        <v>2</v>
      </c>
      <c r="M1028" s="2795">
        <f>'DCA Underwriting Assumptions'!$Q$148</f>
        <v>0.4</v>
      </c>
      <c r="N1028" s="2787" t="s">
        <v>4796</v>
      </c>
      <c r="O1028" s="2779"/>
      <c r="P1028" s="2489">
        <f>'Part VII-Threshold Criteria'!P185</f>
        <v>2</v>
      </c>
      <c r="Q1028" s="2489"/>
    </row>
    <row r="1029" spans="1:17" ht="14.1" customHeight="1">
      <c r="A1029" s="2774"/>
      <c r="B1029" s="2484" t="s">
        <v>4682</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4794</v>
      </c>
      <c r="O1029" s="2779"/>
      <c r="P1029" s="2489">
        <f>'Part VII-Threshold Criteria'!P186</f>
        <v>2</v>
      </c>
      <c r="Q1029" s="2489"/>
    </row>
    <row r="1030" spans="1:17" ht="15">
      <c r="A1030" s="2774" t="s">
        <v>697</v>
      </c>
      <c r="B1030" s="2773" t="s">
        <v>4797</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4800</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4798</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4799</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Applicant agrees to meet all accessibility requirements per the 2024-2025 QAP and the 2024 Architectural and Accessibility Manuals, Forms, and Guidelines.</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4677</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5001</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4732</v>
      </c>
      <c r="D1044" s="2772"/>
      <c r="E1044" s="2772"/>
      <c r="F1044" s="2772" t="str">
        <f>'Part VII-Threshold Criteria'!F201</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4" s="2772"/>
      <c r="H1044" s="2772"/>
      <c r="I1044" s="2772"/>
      <c r="J1044" s="2772"/>
      <c r="K1044" s="2772"/>
      <c r="L1044" s="2772"/>
      <c r="M1044" s="2772"/>
      <c r="N1044" s="2772"/>
      <c r="O1044" s="2772"/>
      <c r="P1044" s="2772"/>
      <c r="Q1044" s="2772"/>
    </row>
    <row r="1045" spans="1:17" ht="14.1" customHeight="1">
      <c r="A1045" s="2484"/>
      <c r="B1045" s="2785" t="s">
        <v>1612</v>
      </c>
      <c r="C1045" s="2772" t="s">
        <v>4733</v>
      </c>
      <c r="D1045" s="2772"/>
      <c r="E1045" s="2772"/>
      <c r="F1045" s="2772"/>
      <c r="G1045" s="2772"/>
      <c r="H1045" s="2772" t="str">
        <f>'Part VII-Threshold Criteria'!H202</f>
        <v xml:space="preserve">Fiber cement siding or other 30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4683</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Applicant agrees to meet all Architectural and Design Quality standards per the 2024 Architectural Standards Manual.</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4801</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4791</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4802</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4803</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4804</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4805</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4684</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The Project Team includes Gwinnett Housing Corporation, a 501©(3) organization operating under its parent organization the Lawrenceville Housing Authority, and OneStreet Residential, LLC, a longtime affordable housing owner, developer, and property manager. The Project Team's qualifications package is included in folder "06CompliancePerf". A copy of the MOU between the parties is also included in folder "08Readiness".
The Project Team successfully received a "Qualified" 2024 Pre-Application Project Team Qualification Determination letter from DCA.</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4432</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4685</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4807</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4806</v>
      </c>
      <c r="D1071" s="2783"/>
      <c r="E1071" s="2783"/>
      <c r="F1071" s="2485"/>
      <c r="G1071" s="2772" t="s">
        <v>5002</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4808</v>
      </c>
      <c r="D1072" s="2772"/>
      <c r="E1072" s="2772"/>
      <c r="F1072" s="2772"/>
      <c r="G1072" s="2772" t="s">
        <v>5003</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5103</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5104</v>
      </c>
      <c r="C1074" s="2484"/>
      <c r="D1074" s="2484"/>
      <c r="E1074" s="2484"/>
      <c r="F1074" s="2484"/>
      <c r="G1074" s="2484" t="s">
        <v>5105</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5106</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N/A.</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5004</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N/A - this project is not eligible for the non-profit set-aside.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t="str">
        <f>'Part VII-Threshold Criteria'!D252</f>
        <v>N/A.</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N/A.</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3812</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4146</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4813</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4812</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 xml:space="preserve">N/A - this project does not have any existing occupied structures. </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5015</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4689</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The owner will comply with all AFFH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4814</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4815</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5005</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4816</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5012</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confirms Project will meet all requirements for XXIV. Supportive Housing Requirements under the 2024 QAP.</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4817</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5006</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confirms that they will meet the requirements of the 2024 QAP, XXV. Tenant Selection and the 2024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4819</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5016</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4820</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Applicant agrees to meet the requirements of the XXVI. DCA PBRA Agreement section.</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3677</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The applicant ensures the complete, effective, efficient, and lawful utilization of the low-income housing credit if awarded by DCA. At a tax credit allocation of $18,056 per physical unit, and $22,414 per low-income unit, we maintain that this is an efficient use of DCA resources in the current economic climate.</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Wesley Square,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5014</v>
      </c>
      <c r="B1160" s="2804"/>
      <c r="C1160" s="2804"/>
      <c r="D1160" s="2804"/>
      <c r="E1160" s="2804"/>
      <c r="F1160" s="2804"/>
      <c r="G1160" s="2804"/>
      <c r="H1160" s="2804"/>
      <c r="I1160" s="2804"/>
      <c r="J1160" s="2804"/>
      <c r="K1160" s="2804"/>
      <c r="L1160" s="2804"/>
      <c r="M1160" s="2468" t="s">
        <v>4728</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81.5</v>
      </c>
      <c r="P1163" s="2807">
        <f>P1556</f>
        <v>12</v>
      </c>
      <c r="Q1163" s="1997" t="s">
        <v>4691</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4036</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4747</v>
      </c>
      <c r="B1167" s="2028"/>
      <c r="C1167" s="2028"/>
      <c r="D1167" s="2028"/>
      <c r="E1167" s="2809" t="str">
        <f>IF(OR((C1169-A1169&gt;0),(D1169-A1169&gt;0)),"Points Exceed Max!","")</f>
        <v/>
      </c>
      <c r="F1167" s="1997" t="s">
        <v>4711</v>
      </c>
      <c r="G1167" s="1997"/>
      <c r="H1167" s="1997"/>
      <c r="I1167" s="1997"/>
      <c r="J1167" s="1997" t="s">
        <v>4039</v>
      </c>
      <c r="K1167" s="1997"/>
      <c r="L1167" s="1997"/>
      <c r="M1167" s="1997"/>
      <c r="N1167" s="2017"/>
      <c r="O1167" s="1998" t="s">
        <v>4712</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4728</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4603</v>
      </c>
      <c r="I1169" s="1997"/>
      <c r="J1169" s="1997" t="str">
        <f>'Part VIII Scoring Criteria'!J12</f>
        <v>Atlanta Metro</v>
      </c>
      <c r="K1169" s="1997"/>
      <c r="L1169" s="1997" t="s">
        <v>4604</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4948</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4949</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5107</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4892</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4950</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4951</v>
      </c>
      <c r="D1180" s="2811"/>
      <c r="E1180" s="2811"/>
      <c r="F1180" s="1998"/>
      <c r="G1180" s="2028"/>
      <c r="H1180" s="1998"/>
      <c r="I1180" s="1998"/>
      <c r="J1180" s="1998"/>
      <c r="K1180" s="1998"/>
      <c r="L1180" s="2812"/>
      <c r="M1180" s="2012">
        <v>3</v>
      </c>
      <c r="N1180" s="2816"/>
      <c r="O1180" s="2468" t="str">
        <f>'Part VIII Scoring Criteria'!O23</f>
        <v>No</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4952</v>
      </c>
      <c r="D1181" s="2811"/>
      <c r="E1181" s="2811"/>
      <c r="F1181" s="1998"/>
      <c r="G1181" s="2028"/>
      <c r="H1181" s="1998"/>
      <c r="I1181" s="1998"/>
      <c r="J1181" s="1998"/>
      <c r="K1181" s="2466"/>
      <c r="L1181" s="1998"/>
      <c r="M1181" s="2012">
        <v>1</v>
      </c>
      <c r="N1181" s="2816"/>
      <c r="O1181" s="2468" t="str">
        <f>'Part VIII Scoring Criteria'!O24</f>
        <v>No</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3826</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4953</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5108</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5109</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4955</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4956</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4957</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4958</v>
      </c>
      <c r="D1189" s="2034"/>
      <c r="E1189" s="2034"/>
      <c r="F1189" s="2034"/>
      <c r="G1189" s="2034"/>
      <c r="H1189" s="2034"/>
      <c r="I1189" s="2034"/>
      <c r="J1189" s="2034"/>
      <c r="K1189" s="2034"/>
      <c r="L1189" s="2034"/>
      <c r="M1189" s="2033"/>
      <c r="N1189" s="2820"/>
      <c r="O1189" s="2468" t="str">
        <f>'Part VIII Scoring Criteria'!O32</f>
        <v>No</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4471</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4721</v>
      </c>
      <c r="C1195" s="1998"/>
      <c r="D1195" s="2464"/>
      <c r="E1195" s="2464"/>
      <c r="F1195" s="1998"/>
      <c r="G1195" s="1998"/>
      <c r="H1195" s="1998"/>
      <c r="I1195" s="1998"/>
      <c r="J1195" s="2825"/>
      <c r="K1195" s="1998"/>
      <c r="L1195" s="1998"/>
      <c r="M1195" s="2468"/>
      <c r="N1195" s="1998"/>
      <c r="O1195" s="2826" t="s">
        <v>4722</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4584</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4959</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4583</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4853</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4472</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4960</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4473</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4961</v>
      </c>
      <c r="C1204" s="2028"/>
      <c r="D1204" s="2035"/>
      <c r="E1204" s="2028"/>
      <c r="F1204" s="2028"/>
      <c r="G1204" s="2028"/>
      <c r="H1204" s="2028"/>
      <c r="I1204" s="2028"/>
      <c r="J1204" s="2028"/>
      <c r="K1204" s="2028"/>
      <c r="L1204" s="2035"/>
      <c r="M1204" s="2017"/>
      <c r="N1204" s="2466"/>
      <c r="O1204" s="2012" t="str">
        <f>'Part VIII Scoring Criteria'!O47</f>
        <v>No</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4854</v>
      </c>
      <c r="C1205" s="2034"/>
      <c r="D1205" s="2034"/>
      <c r="E1205" s="2034"/>
      <c r="F1205" s="2034"/>
      <c r="G1205" s="2034"/>
      <c r="H1205" s="2034"/>
      <c r="I1205" s="2034"/>
      <c r="J1205" s="2034"/>
      <c r="K1205" s="2034"/>
      <c r="L1205" s="2034"/>
      <c r="M1205" s="2034"/>
      <c r="N1205" s="2466"/>
      <c r="O1205" s="2012" t="str">
        <f>'Part VIII Scoring Criteria'!O48</f>
        <v>No</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5110</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commits to engage QBs in the development and/or operation of the proposed Wesley Square property in amounts equal to approximately 10% of total construction hard costs as certified by an Independent Auditor Report in the Final Allocation Application. Supporting documentation is provided in folder "04MinorityWoman".</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4892</v>
      </c>
      <c r="M1212" s="2027">
        <v>5</v>
      </c>
      <c r="N1212" s="2012"/>
      <c r="O1212" s="2807">
        <f>'Part VIII Scoring Criteria'!O55</f>
        <v>2</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2</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4857</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3827</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4855</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4128</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3763</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4702</v>
      </c>
      <c r="C1225" s="1998" t="s">
        <v>4701</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4703</v>
      </c>
      <c r="C1226" s="1998" t="s">
        <v>4723</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4856</v>
      </c>
      <c r="C1227" s="1998" t="s">
        <v>4724</v>
      </c>
      <c r="D1227" s="2028"/>
      <c r="E1227" s="2028"/>
      <c r="F1227" s="2028"/>
      <c r="G1227" s="2028"/>
      <c r="H1227" s="2028"/>
      <c r="I1227" s="2466"/>
      <c r="J1227" s="2834">
        <f>'Part VIII Scoring Criteria'!J70</f>
        <v>1640000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1640000</v>
      </c>
      <c r="K1228" s="2834"/>
      <c r="L1228" s="2028"/>
      <c r="M1228" s="2834">
        <f>SUM($M1216:$M1227)</f>
        <v>0</v>
      </c>
      <c r="N1228" s="2834"/>
      <c r="O1228" s="2834"/>
      <c r="P1228" s="2834"/>
      <c r="Q1228" s="2028"/>
      <c r="R1228" s="2028"/>
      <c r="S1228" s="2028"/>
      <c r="T1228" s="2028"/>
      <c r="U1228" s="2028" t="s">
        <v>4729</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4727</v>
      </c>
      <c r="V1229" s="2835" t="s">
        <v>4728</v>
      </c>
      <c r="W1229" s="2835" t="s">
        <v>4727</v>
      </c>
      <c r="X1229" s="2835" t="s">
        <v>4728</v>
      </c>
      <c r="Y1229" s="2835" t="s">
        <v>4727</v>
      </c>
      <c r="Z1229" s="2835" t="s">
        <v>4728</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4131</v>
      </c>
      <c r="J1230" s="2834">
        <f>'Part VIII Scoring Criteria'!J73</f>
        <v>72</v>
      </c>
      <c r="K1230" s="2834"/>
      <c r="L1230" s="1997"/>
      <c r="M1230" s="1997"/>
      <c r="N1230" s="1997"/>
      <c r="O1230" s="2028"/>
      <c r="P1230" s="1997"/>
      <c r="Q1230" s="2028"/>
      <c r="R1230" s="2836" t="s">
        <v>4725</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4132</v>
      </c>
      <c r="J1231" s="2839">
        <f>'Part VIII Scoring Criteria'!J74</f>
        <v>22777.777777777777</v>
      </c>
      <c r="K1231" s="2839"/>
      <c r="L1231" s="2028"/>
      <c r="M1231" s="2839">
        <f>IF(J1230=0,0,M1228/J1230)</f>
        <v>0</v>
      </c>
      <c r="N1231" s="2839"/>
      <c r="O1231" s="2839"/>
      <c r="P1231" s="2839"/>
      <c r="Q1231" s="2028"/>
      <c r="R1231" s="2836" t="s">
        <v>4726</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4704</v>
      </c>
      <c r="J1232" s="2834">
        <f>'Part VIII Scoring Criteria'!J75</f>
        <v>2</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4858</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4133</v>
      </c>
      <c r="J1233" s="2840">
        <f>'Part VIII Scoring Criteria'!J76</f>
        <v>2</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4859</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4860</v>
      </c>
      <c r="C1235" s="2028"/>
      <c r="D1235" s="1998"/>
      <c r="E1235" s="2028"/>
      <c r="F1235" s="2841" t="s">
        <v>4864</v>
      </c>
      <c r="G1235" s="2028"/>
      <c r="H1235" s="2028"/>
      <c r="I1235" s="2028"/>
      <c r="J1235" s="2028"/>
      <c r="K1235" s="1998"/>
      <c r="L1235" s="2842" t="s">
        <v>4863</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4861</v>
      </c>
      <c r="D1236" s="1998"/>
      <c r="E1236" s="1998"/>
      <c r="F1236" s="2843" t="s">
        <v>4862</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4960</v>
      </c>
      <c r="D1238" s="2034"/>
      <c r="E1238" s="2034"/>
      <c r="F1238" s="2034"/>
      <c r="G1238" s="2034"/>
      <c r="H1238" s="2034"/>
      <c r="I1238" s="2034"/>
      <c r="J1238" s="2034"/>
      <c r="K1238" s="2034"/>
      <c r="L1238" s="2034"/>
      <c r="M1238" s="2034"/>
      <c r="N1238" s="2846"/>
      <c r="O1238" s="2819" t="str">
        <f>'Part VIII Scoring Criteria'!O81</f>
        <v>N/a</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4705</v>
      </c>
      <c r="D1239" s="1998"/>
      <c r="E1239" s="1998"/>
      <c r="F1239" s="1998"/>
      <c r="G1239" s="1998"/>
      <c r="H1239" s="1998"/>
      <c r="I1239" s="1998"/>
      <c r="J1239" s="1998"/>
      <c r="K1239" s="1998"/>
      <c r="L1239" s="2028"/>
      <c r="M1239" s="1998"/>
      <c r="N1239" s="2847"/>
      <c r="O1239" s="2819" t="str">
        <f>'Part VIII Scoring Criteria'!O82</f>
        <v>N/a</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5110</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Applicant has secured $1,640,000 ARPA loan through the Gwinnett County Affordable Housing Stabilization Loan NOFA. Supporting Documentation is included in folders "05FavFinan" and "08Readiness".</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3905</v>
      </c>
      <c r="C1246" s="1998"/>
      <c r="D1246" s="2464"/>
      <c r="E1246" s="2464"/>
      <c r="F1246" s="1998"/>
      <c r="G1246" s="1998"/>
      <c r="H1246" s="1998"/>
      <c r="I1246" s="1998"/>
      <c r="J1246" s="1998"/>
      <c r="K1246" s="2812"/>
      <c r="L1246" s="2810" t="s">
        <v>4892</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4742</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4937</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4938</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4743</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4498</v>
      </c>
      <c r="C1257" s="2035"/>
      <c r="D1257" s="2035"/>
      <c r="E1257" s="2035"/>
      <c r="F1257" s="2035"/>
      <c r="G1257" s="2809" t="s">
        <v>4869</v>
      </c>
      <c r="H1257" s="2035"/>
      <c r="I1257" s="2028"/>
      <c r="J1257" s="2028"/>
      <c r="K1257" s="2035"/>
      <c r="L1257" s="2810" t="s">
        <v>4892</v>
      </c>
      <c r="M1257" s="2468">
        <v>5</v>
      </c>
      <c r="N1257" s="2033"/>
      <c r="O1257" s="2027">
        <f>'Part VIII Scoring Criteria'!O100</f>
        <v>2</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4866</v>
      </c>
      <c r="C1258" s="1998"/>
      <c r="D1258" s="1998"/>
      <c r="E1258" s="1997"/>
      <c r="F1258" s="1998"/>
      <c r="G1258" s="2841"/>
      <c r="H1258" s="1998"/>
      <c r="I1258" s="1998"/>
      <c r="J1258" s="1998"/>
      <c r="K1258" s="2012"/>
      <c r="L1258" s="2466"/>
      <c r="M1258" s="2012">
        <v>3</v>
      </c>
      <c r="N1258" s="2466"/>
      <c r="O1258" s="2027">
        <f>'Part VIII Scoring Criteria'!O101</f>
        <v>0</v>
      </c>
      <c r="P1258" s="2027">
        <f>'Part VIII Scoring Criteria'!P101</f>
        <v>0</v>
      </c>
      <c r="Q1258" s="2813" t="str">
        <f>IF(OR($O1258=$M1258,$O1258=0,$O1258=""),"","*CHECK!*")</f>
        <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5021</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4867</v>
      </c>
      <c r="D1260" s="1998"/>
      <c r="E1260" s="1998"/>
      <c r="F1260" s="1998"/>
      <c r="G1260" s="1998"/>
      <c r="H1260" s="1998"/>
      <c r="I1260" s="1998"/>
      <c r="J1260" s="2850" t="s">
        <v>4678</v>
      </c>
      <c r="K1260" s="2850"/>
      <c r="L1260" s="1998"/>
      <c r="M1260" s="2844">
        <v>2</v>
      </c>
      <c r="N1260" s="2849"/>
      <c r="O1260" s="2027">
        <f>'Part VIII Scoring Criteria'!O103</f>
        <v>0</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4868</v>
      </c>
      <c r="D1261" s="1998"/>
      <c r="E1261" s="1998"/>
      <c r="F1261" s="1998"/>
      <c r="G1261" s="1998"/>
      <c r="H1261" s="1998"/>
      <c r="I1261" s="2034"/>
      <c r="J1261" s="2851" t="s">
        <v>4679</v>
      </c>
      <c r="K1261" s="2033" t="s">
        <v>4680</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5020</v>
      </c>
      <c r="C1262" s="2028"/>
      <c r="D1262" s="2028"/>
      <c r="E1262" s="2028"/>
      <c r="F1262" s="2028"/>
      <c r="G1262" s="2028"/>
      <c r="H1262" s="2810"/>
      <c r="I1262" s="2028"/>
      <c r="J1262" s="2030">
        <f>'Part VIII Scoring Criteria'!J105</f>
        <v>7.2</v>
      </c>
      <c r="K1262" s="2851">
        <v>0.1</v>
      </c>
      <c r="L1262" s="2028"/>
      <c r="M1262" s="2810" t="s">
        <v>5038</v>
      </c>
      <c r="N1262" s="2017"/>
      <c r="O1262" s="2027">
        <f>'Part VIII Scoring Criteria'!O105</f>
        <v>0</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5111</v>
      </c>
      <c r="C1263" s="2028"/>
      <c r="D1263" s="2028"/>
      <c r="E1263" s="2028"/>
      <c r="F1263" s="2028"/>
      <c r="G1263" s="2028"/>
      <c r="H1263" s="2028"/>
      <c r="I1263" s="2028"/>
      <c r="J1263" s="2028"/>
      <c r="K1263" s="2028"/>
      <c r="L1263" s="2028"/>
      <c r="M1263" s="2028"/>
      <c r="N1263" s="2017"/>
      <c r="O1263" s="2819">
        <f>'Part VIII Scoring Criteria'!O106</f>
        <v>0</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4134</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4865</v>
      </c>
      <c r="C1265" s="1998"/>
      <c r="D1265" s="1998"/>
      <c r="E1265" s="1998"/>
      <c r="F1265" s="1998"/>
      <c r="G1265" s="2852" t="s">
        <v>4870</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5110</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Owner confirms successful prior performance under DCA PBRA Commitments.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4844</v>
      </c>
      <c r="C1274" s="1998"/>
      <c r="D1274" s="2464"/>
      <c r="E1274" s="2464"/>
      <c r="F1274" s="1998"/>
      <c r="G1274" s="1998"/>
      <c r="H1274" s="1998"/>
      <c r="I1274" s="1998"/>
      <c r="J1274" s="1998"/>
      <c r="K1274" s="1998"/>
      <c r="L1274" s="2810" t="s">
        <v>4892</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4887</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4964</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4968</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4962</v>
      </c>
      <c r="D1278" s="1998"/>
      <c r="E1278" s="1998"/>
      <c r="F1278" s="2468"/>
      <c r="G1278" s="1998"/>
      <c r="H1278" s="1998"/>
      <c r="I1278" s="2468"/>
      <c r="J1278" s="2012" t="s">
        <v>4963</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4965</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4966</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4889</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4890</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4967</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5009</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5010</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4969</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4970</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4891</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4971</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4888</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Per the 2024 QAP, this subsection applies to 4% Credits/Bonds Applications only.</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5110</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Applicant has demonstrated a readiness to proceed with the documentation included in folder "08Readiness". If selected under the Competitive Round, Applicant understands that documents submitted for Readiness to Proceed may need to be updated again for purposes of Threshold review. In addition, scoring criteria section VIII. Readiness to Proceed states that in all cases where a document set is not applicable to the development, the Application will receive full points for the associated documents. Since this Project is not a rehabilitation, there is no documentation provided for Physical Needs Assessment. However, the Applicant is still claiming 1 point for that specific item.</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4939</v>
      </c>
      <c r="L1298" s="2810" t="s">
        <v>4892</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3692</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4707</v>
      </c>
      <c r="C1300" s="1998"/>
      <c r="D1300" s="1998"/>
      <c r="E1300" s="1998"/>
      <c r="F1300" s="1998"/>
      <c r="G1300" s="2861"/>
      <c r="H1300" s="2028" t="s">
        <v>4539</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3687</v>
      </c>
      <c r="D1301" s="1998"/>
      <c r="E1301" s="1998"/>
      <c r="F1301" s="1998"/>
      <c r="G1301" s="1998"/>
      <c r="H1301" s="1998" t="s">
        <v>3688</v>
      </c>
      <c r="I1301" s="1998"/>
      <c r="J1301" s="1998"/>
      <c r="K1301" s="2864">
        <f>'Part V-Revenues &amp; Expenses'!$B$50</f>
        <v>50</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3689</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4710</v>
      </c>
      <c r="C1304" s="2028"/>
      <c r="D1304" s="2028"/>
      <c r="E1304" s="2028"/>
      <c r="F1304" s="2028"/>
      <c r="G1304" s="2028"/>
      <c r="H1304" s="2029" t="s">
        <v>4692</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4845</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4972</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5110</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Applicant commits to make on-going efforts to request that the PHA and HCV administrator make referrals to the proposed development, or request they include relevant information about the proposed development on any listing made available to persons on their waiting lists.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4892</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5110</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Wesley Square is conveniently located within easy walking and driving distances of attractive neighborhood amenities including Walmart (1-mile away), Al Madina Halal Market &amp; Restaurant (0.2-miles away), Taqueria Maria (0.2-miles away), Dentistry Dr. Gloria Stingley (0.7-miles away), Walgreens (0.05-miles away), Rockbridge Elementary School (0.9-miles away), Graves Park (1.4-miles away), Gwinnett County Fire Station 11 (1.0-mile away), Wells Fargo (0.7-miles away), and Nett Church (0.06-miles away). As indicated on the Desirable/Undesirable Site Characteristics Certification in folder "11DesirUndes", these distances are measured from the appropriate geocoordinates of the primary vehicular or pedestrian site entrances. The total point availability for all of the nearby neighborhood amenities would have a value of 21 total points (of which 20 points can only be scored).</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4892</v>
      </c>
      <c r="M1326" s="2468">
        <v>6</v>
      </c>
      <c r="N1326" s="2466"/>
      <c r="O1326" s="2807">
        <f>'Part VIII Scoring Criteria'!O169</f>
        <v>3</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4693</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4694</v>
      </c>
      <c r="D1329" s="2028"/>
      <c r="E1329" s="2028"/>
      <c r="F1329" s="1998">
        <f>'Part VIII Scoring Criteria'!F172</f>
        <v>34.014997999999999</v>
      </c>
      <c r="G1329" s="1998"/>
      <c r="H1329" s="1998"/>
      <c r="I1329" s="1998"/>
      <c r="J1329" s="1998">
        <f>'Part VIII Scoring Criteria'!J172</f>
        <v>-83.823733000000004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4695</v>
      </c>
      <c r="D1330" s="2028"/>
      <c r="E1330" s="2028"/>
      <c r="F1330" s="1998">
        <f>'Part VIII Scoring Criteria'!F173</f>
        <v>33.901359999999997</v>
      </c>
      <c r="G1330" s="1998"/>
      <c r="H1330" s="1998"/>
      <c r="I1330" s="1998"/>
      <c r="J1330" s="1998">
        <f>'Part VIII Scoring Criteria'!J173</f>
        <v>-84.206090000000003</v>
      </c>
      <c r="K1330" s="1998"/>
      <c r="L1330" s="1998"/>
      <c r="M1330" s="1998"/>
      <c r="N1330" s="2466"/>
      <c r="O1330" s="2873">
        <f>'Part VIII Scoring Criteria'!O173</f>
        <v>0.12</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4716</v>
      </c>
      <c r="C1331" s="2028"/>
      <c r="D1331" s="2028"/>
      <c r="E1331" s="2028"/>
      <c r="F1331" s="2017" t="s">
        <v>4696</v>
      </c>
      <c r="G1331" s="1998" t="s">
        <v>1667</v>
      </c>
      <c r="H1331" s="1998"/>
      <c r="I1331" s="1998"/>
      <c r="J1331" s="1998" t="s">
        <v>4713</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Gwinnett County Transit</v>
      </c>
      <c r="C1332" s="1998"/>
      <c r="D1332" s="1998"/>
      <c r="E1332" s="1998"/>
      <c r="F1332" s="2874">
        <f>'Part VIII Scoring Criteria'!F175</f>
        <v>7708225010</v>
      </c>
      <c r="G1332" s="1998" t="str">
        <f>'Part VIII Scoring Criteria'!G175</f>
        <v>info@gwinnettcounty.com</v>
      </c>
      <c r="H1332" s="1998"/>
      <c r="I1332" s="1998"/>
      <c r="J1332" s="1998" t="str">
        <f>'Part VIII Scoring Criteria'!J175</f>
        <v>https://www.gwinnettcounty.com/web/gwinnett/departments/transportation/gwinnettcountytransit</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3152</v>
      </c>
      <c r="C1334" s="2028"/>
      <c r="D1334" s="2028"/>
      <c r="E1334" s="2028"/>
      <c r="F1334" s="2464"/>
      <c r="G1334" s="2028"/>
      <c r="H1334" s="2028"/>
      <c r="I1334" s="2028"/>
      <c r="J1334" s="2028"/>
      <c r="K1334" s="2028"/>
      <c r="L1334" s="2842" t="s">
        <v>4863</v>
      </c>
      <c r="M1334" s="2468">
        <v>6</v>
      </c>
      <c r="N1334" s="2845"/>
      <c r="O1334" s="2807">
        <f>'Part VIII Scoring Criteria'!O177</f>
        <v>0</v>
      </c>
      <c r="P1334" s="2807">
        <f>'Part VIII Scoring Criteria'!P177</f>
        <v>0</v>
      </c>
      <c r="Q1334" s="2468"/>
      <c r="R1334" s="2028"/>
      <c r="S1334" s="2876" t="s">
        <v>4159</v>
      </c>
      <c r="T1334" s="2876" t="s">
        <v>4044</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5112</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4562</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5113</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3</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5114</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3</v>
      </c>
      <c r="P1338" s="2027"/>
      <c r="Q1338" s="2028"/>
      <c r="R1338" s="2877" t="s">
        <v>4563</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5115</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5116</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5110</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The primary site entrance of Wesley Square is located less than 1/4-mile walking distance from GCT's Bus Stop #0562, as shown on the maps included in folder "12CommTransOpt".  This tab also includes route and schedule information for GCT Bus Routes 20 and 30 - each of which follow fixed routes with daily schedules, and serve the City of Norcross and the greater Gwinnett County area from MARTA's Doraville Transit Hub Station. Please note that GCT Bus Stop #0562 geocoordinates include 0s that are not shown above - i.e. 33.901360, -84.206090.</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4048</v>
      </c>
      <c r="C1347" s="2035"/>
      <c r="D1347" s="2035"/>
      <c r="E1347" s="2035"/>
      <c r="F1347" s="2028"/>
      <c r="G1347" s="2468"/>
      <c r="H1347" s="2814"/>
      <c r="I1347" s="2028"/>
      <c r="J1347" s="2028"/>
      <c r="K1347" s="2028"/>
      <c r="L1347" s="2810" t="s">
        <v>4892</v>
      </c>
      <c r="M1347" s="2468">
        <v>3</v>
      </c>
      <c r="N1347" s="2033"/>
      <c r="O1347" s="2027">
        <f>'Part VIII Scoring Criteria'!O190</f>
        <v>1.5</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5117</v>
      </c>
      <c r="G1348" s="2826"/>
      <c r="H1348" s="2826" t="s">
        <v>5118</v>
      </c>
      <c r="I1348" s="2826"/>
      <c r="J1348" s="2826" t="s">
        <v>5119</v>
      </c>
      <c r="K1348" s="2881"/>
      <c r="L1348" s="2826" t="s">
        <v>4717</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4523</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Graves Elementary School</v>
      </c>
      <c r="C1351" s="1998"/>
      <c r="D1351" s="1998"/>
      <c r="E1351" s="1998"/>
      <c r="F1351" s="1998" t="str">
        <f>'Part VIII Scoring Criteria'!F194</f>
        <v>No</v>
      </c>
      <c r="G1351" s="1998"/>
      <c r="H1351" s="1998" t="str">
        <f>'Part VIII Scoring Criteria'!H194</f>
        <v>Yes</v>
      </c>
      <c r="I1351" s="1998"/>
      <c r="J1351" s="1998" t="str">
        <f>'Part VIII Scoring Criteria'!J194</f>
        <v>No</v>
      </c>
      <c r="K1351" s="1998"/>
      <c r="L1351" s="1997" t="str">
        <f>'Part VIII Scoring Criteria'!L194</f>
        <v>N/a</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Radloff Middle School</v>
      </c>
      <c r="C1352" s="1998"/>
      <c r="D1352" s="1998"/>
      <c r="E1352" s="1998"/>
      <c r="F1352" s="1998" t="str">
        <f>'Part VIII Scoring Criteria'!F195</f>
        <v>No</v>
      </c>
      <c r="G1352" s="1998"/>
      <c r="H1352" s="1998" t="str">
        <f>'Part VIII Scoring Criteria'!H195</f>
        <v>Yes</v>
      </c>
      <c r="I1352" s="1998"/>
      <c r="J1352" s="1998" t="str">
        <f>'Part VIII Scoring Criteria'!J195</f>
        <v>No</v>
      </c>
      <c r="K1352" s="1998"/>
      <c r="L1352" s="1997" t="str">
        <f>'Part VIII Scoring Criteria'!L195</f>
        <v>N/a</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5110</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Graves Elementary School and Radloff Middle School received "Beating the Odds" designation in 2018, as highlighted on page 26 of the file "1301WslySqBTO2018" in folder "13QualEduc". As this represents more than seven (7) grade levels meeting this designation, in a district with a proposed Family project, the application is eligible for 1.5 points in this category. Maps showing the location and attendance zones for each school are also located in folder "13QualEduc".</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3250</v>
      </c>
      <c r="C1363" s="1998"/>
      <c r="D1363" s="2464"/>
      <c r="E1363" s="2464"/>
      <c r="F1363" s="1998"/>
      <c r="G1363" s="1998"/>
      <c r="H1363" s="1998"/>
      <c r="I1363" s="1998"/>
      <c r="J1363" s="1998"/>
      <c r="K1363" s="2842"/>
      <c r="L1363" s="2810" t="s">
        <v>4892</v>
      </c>
      <c r="M1363" s="2468">
        <v>10</v>
      </c>
      <c r="N1363" s="2012"/>
      <c r="O1363" s="2807">
        <f>'Part VIII Scoring Criteria'!O206</f>
        <v>10</v>
      </c>
      <c r="P1363" s="2807">
        <f>'Part VIII Scoring Criteria'!P206</f>
        <v>0</v>
      </c>
      <c r="Q1363" s="2468" t="s">
        <v>415</v>
      </c>
      <c r="R1363" s="2884" t="s">
        <v>4995</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5017</v>
      </c>
      <c r="G1364" s="1998"/>
      <c r="H1364" s="1998"/>
      <c r="I1364" s="1998"/>
      <c r="J1364" s="1998"/>
      <c r="K1364" s="1998"/>
      <c r="L1364" s="2471"/>
      <c r="M1364" s="2468"/>
      <c r="N1364" s="2012"/>
      <c r="O1364" s="2027">
        <f>'Part VIII Scoring Criteria'!O207</f>
        <v>18</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5120</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4893</v>
      </c>
      <c r="D1366" s="2034"/>
      <c r="E1366" s="2034"/>
      <c r="F1366" s="2034"/>
      <c r="G1366" s="2034"/>
      <c r="H1366" s="2034"/>
      <c r="I1366" s="2034"/>
      <c r="J1366" s="2034"/>
      <c r="K1366" s="2034"/>
      <c r="L1366" s="2820"/>
      <c r="M1366" s="2028"/>
      <c r="N1366" s="2882" t="str">
        <f>'Part VIII Scoring Criteria'!N209</f>
        <v>10-11</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4699</v>
      </c>
      <c r="D1367" s="1998"/>
      <c r="E1367" s="1998"/>
      <c r="F1367" s="1998"/>
      <c r="G1367" s="1998"/>
      <c r="H1367" s="1998"/>
      <c r="I1367" s="1998"/>
      <c r="J1367" s="1998"/>
      <c r="K1367" s="1998"/>
      <c r="L1367" s="2466"/>
      <c r="M1367" s="1998"/>
      <c r="N1367" s="2882">
        <f>'Part VIII Scoring Criteria'!N210</f>
        <v>165</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4894</v>
      </c>
      <c r="D1368" s="1998"/>
      <c r="E1368" s="1998"/>
      <c r="F1368" s="1998"/>
      <c r="G1368" s="1998"/>
      <c r="H1368" s="1998"/>
      <c r="I1368" s="1998"/>
      <c r="J1368" s="1998"/>
      <c r="K1368" s="1998"/>
      <c r="L1368" s="2466"/>
      <c r="M1368" s="1998"/>
      <c r="N1368" s="2882">
        <f>'Part VIII Scoring Criteria'!N211</f>
        <v>180</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4072</v>
      </c>
      <c r="C1369" s="1998"/>
      <c r="D1369" s="1998"/>
      <c r="E1369" s="1998"/>
      <c r="F1369" s="1998"/>
      <c r="G1369" s="1998"/>
      <c r="H1369" s="1998"/>
      <c r="I1369" s="1998"/>
      <c r="J1369" s="1998"/>
      <c r="K1369" s="1998"/>
      <c r="L1369" s="2842" t="s">
        <v>4892</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4895</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5121</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4973</v>
      </c>
      <c r="C1372" s="2028"/>
      <c r="D1372" s="2034"/>
      <c r="E1372" s="2034"/>
      <c r="F1372" s="2034"/>
      <c r="G1372" s="2034"/>
      <c r="H1372" s="2034"/>
      <c r="I1372" s="2034"/>
      <c r="J1372" s="2028"/>
      <c r="K1372" s="2012"/>
      <c r="L1372" s="2842" t="s">
        <v>4892</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4974</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4897</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4898</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4899</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4901</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5011</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3306</v>
      </c>
      <c r="C1379" s="2035"/>
      <c r="D1379" s="2035"/>
      <c r="E1379" s="2035"/>
      <c r="F1379" s="2035"/>
      <c r="G1379" s="2035"/>
      <c r="H1379" s="2035"/>
      <c r="I1379" s="2035"/>
      <c r="J1379" s="2035"/>
      <c r="K1379" s="2035"/>
      <c r="L1379" s="2842" t="s">
        <v>4892</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4975</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4902</v>
      </c>
      <c r="D1381" s="2035"/>
      <c r="E1381" s="2035"/>
      <c r="F1381" s="2035"/>
      <c r="G1381" s="2035"/>
      <c r="H1381" s="2035"/>
      <c r="I1381" s="2028"/>
      <c r="J1381" s="2028"/>
      <c r="K1381" s="2028"/>
      <c r="L1381" s="2842" t="s">
        <v>4892</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4976</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4903</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4977</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4904</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4851</v>
      </c>
      <c r="C1386" s="2028"/>
      <c r="D1386" s="1998"/>
      <c r="E1386" s="2028"/>
      <c r="F1386" s="2887"/>
      <c r="G1386" s="2028"/>
      <c r="H1386" s="2028"/>
      <c r="I1386" s="2028"/>
      <c r="J1386" s="2028"/>
      <c r="K1386" s="2471"/>
      <c r="L1386" s="2842" t="s">
        <v>4892</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3696</v>
      </c>
      <c r="D1387" s="2035"/>
      <c r="E1387" s="2035"/>
      <c r="F1387" s="2035"/>
      <c r="G1387" s="2035"/>
      <c r="H1387" s="2035"/>
      <c r="I1387" s="2035"/>
      <c r="J1387" s="2035"/>
      <c r="K1387" s="2035"/>
      <c r="L1387" s="2842" t="s">
        <v>4892</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4905</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5110</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The Gwinnett County Board of Commissioners approved an update to the Jimmy Carter Boulevard LCI plan. The updated plan was formally approved by the Board of Commissioners on Tuesday, March 21, 2023. A copy of the signed resolution to this letter is included in folder "14RevitRedevPlan". Gwinnett County looks forward to continuing improvements in the LCI study area to further advance the vision and goals of the Jimmy Carter Boulevard LCI study.
Community Partnership letters are provided for Project Community Connections Inc., St. Vincent De Paul, Money Management International, and Boys and Girls Club. These four community partnership letters evidence 5+ years of cumulative parnerships. In addition, the community partner ogranizations provide services associated with Education, Employment, and Health. Letters are included in folder "14RevitRedevPlan".</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4995</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5017</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4906</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4978</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5122</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4980</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4910</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4981</v>
      </c>
      <c r="C1402" s="2028"/>
      <c r="D1402" s="2833"/>
      <c r="E1402" s="2833" t="s">
        <v>4982</v>
      </c>
      <c r="F1402" s="2833"/>
      <c r="G1402" s="2833"/>
      <c r="H1402" s="2890" t="s">
        <v>4720</v>
      </c>
      <c r="I1402" s="2833" t="s">
        <v>5123</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4984</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4986</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4987</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4988</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4111</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5110</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N/A.</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4995</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5110</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N/A.</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3906</v>
      </c>
      <c r="C1423" s="2028"/>
      <c r="D1423" s="2028"/>
      <c r="E1423" s="2814" t="str">
        <f>IF(AND(O1423&gt;0,NOT($F$12="New Affordability"),NOT($O$12="9%")), "Ineligible, not New Affordability and 9%!","")</f>
        <v/>
      </c>
      <c r="F1423" s="2028"/>
      <c r="G1423" s="2826">
        <f>$O$12</f>
        <v>0</v>
      </c>
      <c r="H1423" s="2841">
        <f>$J$12</f>
        <v>0</v>
      </c>
      <c r="I1423" s="2028"/>
      <c r="J1423" s="2028"/>
      <c r="K1423" s="2028"/>
      <c r="L1423" s="2810" t="s">
        <v>4892</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4152</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4700</v>
      </c>
      <c r="H1425" s="2028" t="s">
        <v>573</v>
      </c>
      <c r="I1425" s="2028"/>
      <c r="J1425" s="2028"/>
      <c r="K1425" s="2028" t="s">
        <v>4738</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4153</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4154</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5110</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N/A.</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3834</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4892</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4914</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4915</v>
      </c>
      <c r="C1437" s="1998"/>
      <c r="D1437" s="1998"/>
      <c r="E1437" s="1998"/>
      <c r="F1437" s="1998"/>
      <c r="G1437" s="1998"/>
      <c r="H1437" s="1998"/>
      <c r="I1437" s="1998"/>
      <c r="J1437" s="1998"/>
      <c r="K1437" s="1998"/>
      <c r="L1437" s="2842" t="s">
        <v>4892</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4989</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4990</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4916</v>
      </c>
      <c r="C1440" s="1998"/>
      <c r="D1440" s="1998"/>
      <c r="E1440" s="1998"/>
      <c r="F1440" s="1998"/>
      <c r="G1440" s="1998"/>
      <c r="H1440" s="1998"/>
      <c r="I1440" s="1998"/>
      <c r="J1440" s="1998"/>
      <c r="K1440" s="1998"/>
      <c r="L1440" s="2842" t="s">
        <v>4892</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4918</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4921</v>
      </c>
      <c r="D1442" s="2028"/>
      <c r="E1442" s="2028"/>
      <c r="F1442" s="2028"/>
      <c r="G1442" s="2028"/>
      <c r="H1442" s="2028"/>
      <c r="I1442" s="2028"/>
      <c r="J1442" s="2028"/>
      <c r="K1442" s="2028"/>
      <c r="L1442" s="2028"/>
      <c r="M1442" s="2028"/>
      <c r="N1442" s="2017"/>
      <c r="O1442" s="2027" t="str">
        <f>'Part VIII Scoring Criteria'!O293</f>
        <v>No</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4917</v>
      </c>
      <c r="C1443" s="2028"/>
      <c r="D1443" s="2028"/>
      <c r="E1443" s="2028"/>
      <c r="F1443" s="2028"/>
      <c r="G1443" s="2031"/>
      <c r="H1443" s="2028"/>
      <c r="I1443" s="2811"/>
      <c r="J1443" s="2028"/>
      <c r="K1443" s="2028"/>
      <c r="L1443" s="2842" t="s">
        <v>4892</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4991</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5110</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Wesley Square is not within the Metro Pool-specific buffer (1-mile radius) of a 4% or 9% Credit development that has received an award in the last 6 DCA competitive funding cycles. A map evidencing this is included in folder "18PrevProj".</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4846</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4892</v>
      </c>
      <c r="M1452" s="2468">
        <v>10</v>
      </c>
      <c r="N1452" s="2012"/>
      <c r="O1452" s="2027">
        <f>'Part VIII Scoring Criteria'!O303</f>
        <v>0</v>
      </c>
      <c r="P1452" s="2027">
        <f>'Part VIII Scoring Criteria'!P303</f>
        <v>0</v>
      </c>
      <c r="Q1452" s="2468" t="s">
        <v>415</v>
      </c>
      <c r="R1452" s="2884" t="s">
        <v>4995</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4908</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12</v>
      </c>
      <c r="K1455" s="2897">
        <f>'Part VIII Scoring Criteria'!K306</f>
        <v>0</v>
      </c>
      <c r="L1455" s="2471"/>
      <c r="M1455" s="1998" t="str">
        <f>'Part VIII Scoring Criteria'!M306</f>
        <v>Atlanta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3908</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4919</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4920</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5110</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4847</v>
      </c>
      <c r="C1466" s="1998"/>
      <c r="D1466" s="2464"/>
      <c r="E1466" s="2464"/>
      <c r="F1466" s="1998"/>
      <c r="G1466" s="1998" t="str">
        <f>'Part VIII Scoring Criteria'!G317</f>
        <v>Atlanta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4929</v>
      </c>
      <c r="D1468" s="2464"/>
      <c r="E1468" s="2464"/>
      <c r="F1468" s="1998"/>
      <c r="G1468" s="1998"/>
      <c r="H1468" s="1998"/>
      <c r="I1468" s="1998"/>
      <c r="J1468" s="1998"/>
      <c r="K1468" s="1998"/>
      <c r="L1468" s="1998" t="s">
        <v>4931</v>
      </c>
      <c r="M1468" s="1998"/>
      <c r="N1468" s="1998"/>
      <c r="O1468" s="1998" t="s">
        <v>4932</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4930</v>
      </c>
      <c r="D1469" s="2464"/>
      <c r="E1469" s="2464"/>
      <c r="F1469" s="1998" t="s">
        <v>4118</v>
      </c>
      <c r="G1469" s="1998"/>
      <c r="H1469" s="1998"/>
      <c r="I1469" s="1998" t="s">
        <v>574</v>
      </c>
      <c r="J1469" s="1998"/>
      <c r="K1469" s="2012" t="s">
        <v>4740</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5110</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N/A.</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3904</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4922</v>
      </c>
      <c r="C1481" s="2028"/>
      <c r="D1481" s="2028"/>
      <c r="E1481" s="2028"/>
      <c r="F1481" s="2028"/>
      <c r="G1481" s="2844" t="s">
        <v>3067</v>
      </c>
      <c r="H1481" s="2901">
        <f>IF('Part V-Revenues &amp; Expenses'!$P$67=0,0,'Part V-Revenues &amp; Expenses'!$P$64/'Part V-Revenues &amp; Expenses'!$P$67)</f>
        <v>0.19444444444444445</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3687</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3828</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3829</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5110</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4477</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4478</v>
      </c>
      <c r="C1500" s="2028"/>
      <c r="D1500" s="2035"/>
      <c r="E1500" s="2843" t="s">
        <v>4489</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4479</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5110</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certifies to partner with a DCA-approved 3rd party contractor for resident services at Wesley Square.</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Gwinnett County GICH Team</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5110</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Application is submitted with the support of the Gwinnett County GICH. Supporting documentation is provided in folder "24DCACommInit".</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4848</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4031</v>
      </c>
      <c r="C1519" s="1998"/>
      <c r="D1519" s="2464"/>
      <c r="E1519" s="2464"/>
      <c r="F1519" s="1998"/>
      <c r="G1519" s="1998"/>
      <c r="H1519" s="1998"/>
      <c r="I1519" s="1998"/>
      <c r="J1519" s="1998"/>
      <c r="K1519" s="1998"/>
      <c r="L1519" s="2842" t="s">
        <v>4892</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4734</v>
      </c>
      <c r="C1520" s="1998"/>
      <c r="D1520" s="2464"/>
      <c r="E1520" s="2464"/>
      <c r="F1520" s="2852" t="s">
        <v>4942</v>
      </c>
      <c r="G1520" s="1998"/>
      <c r="H1520" s="1998"/>
      <c r="I1520" s="1998"/>
      <c r="J1520" s="1998"/>
      <c r="K1520" s="2813" t="str">
        <f>IF(OR($O1520=$M1520,$O1520=0,$O1520=""),"","*CHECK!*")</f>
        <v/>
      </c>
      <c r="L1520" s="2842" t="s">
        <v>4892</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4706</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4033</v>
      </c>
      <c r="C1522" s="2034"/>
      <c r="D1522" s="2034"/>
      <c r="E1522" s="2034"/>
      <c r="F1522" s="2034"/>
      <c r="G1522" s="2034"/>
      <c r="H1522" s="2034"/>
      <c r="I1522" s="2034"/>
      <c r="J1522" s="1998"/>
      <c r="K1522" s="1998"/>
      <c r="L1522" s="2842" t="s">
        <v>4892</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4032</v>
      </c>
      <c r="C1523" s="2028"/>
      <c r="D1523" s="2028"/>
      <c r="E1523" s="2036"/>
      <c r="F1523" s="1998"/>
      <c r="G1523" s="1998"/>
      <c r="H1523" s="1998"/>
      <c r="I1523" s="2028"/>
      <c r="J1523" s="2028"/>
      <c r="K1523" s="2012"/>
      <c r="L1523" s="2842" t="s">
        <v>4892</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4849</v>
      </c>
      <c r="C1524" s="1998"/>
      <c r="D1524" s="2464"/>
      <c r="E1524" s="1998"/>
      <c r="F1524" s="2852" t="s">
        <v>4936</v>
      </c>
      <c r="G1524" s="1998"/>
      <c r="H1524" s="1998"/>
      <c r="I1524" s="1998"/>
      <c r="J1524" s="1998"/>
      <c r="K1524" s="2868" t="str">
        <f>IF(AND($O1524&gt;0,NOT($F$12="Preservation")),"Ineligible, not Preservation!","")</f>
        <v/>
      </c>
      <c r="L1524" s="2842" t="s">
        <v>4892</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4992</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3907</v>
      </c>
      <c r="E1527" s="2464"/>
      <c r="F1527" s="1998"/>
      <c r="G1527" s="1998"/>
      <c r="H1527" s="1998"/>
      <c r="I1527" s="1998"/>
      <c r="J1527" s="2897">
        <f>'Part VIII Scoring Criteria'!J378</f>
        <v>3</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1.5</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4993</v>
      </c>
      <c r="D1529" s="1998"/>
      <c r="E1529" s="1998"/>
      <c r="F1529" s="2852"/>
      <c r="G1529" s="1998"/>
      <c r="H1529" s="1998"/>
      <c r="I1529" s="2861" t="s">
        <v>4994</v>
      </c>
      <c r="J1529" s="2897">
        <f>'Part VIII Scoring Criteria'!J380</f>
        <v>12</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12</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3908</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4850</v>
      </c>
      <c r="C1533" s="1998"/>
      <c r="D1533" s="2464"/>
      <c r="E1533" s="1998"/>
      <c r="F1533" s="1998"/>
      <c r="G1533" s="2811"/>
      <c r="H1533" s="1998"/>
      <c r="I1533" s="1998"/>
      <c r="J1533" s="1998"/>
      <c r="K1533" s="2813" t="str">
        <f>IF(OR($O1533&lt;=$M1533,$O1533=0,$O1533=""),"","*CHECK!*")</f>
        <v/>
      </c>
      <c r="L1533" s="2466" t="s">
        <v>4892</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4923</v>
      </c>
      <c r="D1534" s="1998"/>
      <c r="E1534" s="1998"/>
      <c r="F1534" s="1998"/>
      <c r="G1534" s="1998"/>
      <c r="H1534" s="2904" t="s">
        <v>4935</v>
      </c>
      <c r="I1534" s="2468"/>
      <c r="J1534" s="2851">
        <f>'Part VIII Scoring Criteria'!J385</f>
        <v>0</v>
      </c>
      <c r="K1534" s="2031"/>
      <c r="L1534" s="2842" t="s">
        <v>4892</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4924</v>
      </c>
      <c r="D1535" s="2034"/>
      <c r="E1535" s="2034"/>
      <c r="F1535" s="1998"/>
      <c r="G1535" s="1998"/>
      <c r="H1535" s="2852" t="s">
        <v>4934</v>
      </c>
      <c r="I1535" s="2034"/>
      <c r="J1535" s="2033">
        <f>'Part VIII Scoring Criteria'!J386</f>
        <v>0</v>
      </c>
      <c r="K1535" s="2034"/>
      <c r="L1535" s="2842" t="s">
        <v>4892</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4735</v>
      </c>
      <c r="D1536" s="2028"/>
      <c r="E1536" s="2028"/>
      <c r="F1536" s="2852" t="s">
        <v>4925</v>
      </c>
      <c r="G1536" s="2028"/>
      <c r="H1536" s="2028"/>
      <c r="I1536" s="2028"/>
      <c r="J1536" s="2028"/>
      <c r="K1536" s="2012" t="str">
        <f>IF(OR($O1536="",$O$12="4%"),"","Ineligible!")</f>
        <v>Ineligible!</v>
      </c>
      <c r="L1536" s="2842" t="s">
        <v>4892</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4739</v>
      </c>
      <c r="E1537" s="1998"/>
      <c r="F1537" s="1998"/>
      <c r="G1537" s="1998" t="s">
        <v>4118</v>
      </c>
      <c r="H1537" s="1998"/>
      <c r="I1537" s="1998"/>
      <c r="J1537" s="1998" t="s">
        <v>574</v>
      </c>
      <c r="K1537" s="2028"/>
      <c r="L1537" s="2017" t="s">
        <v>4740</v>
      </c>
      <c r="M1537" s="2028" t="s">
        <v>4744</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3739</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4687</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4688</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4926</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4927</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4900</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4928</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4736</v>
      </c>
      <c r="D1548" s="2034"/>
      <c r="E1548" s="2034"/>
      <c r="F1548" s="2852" t="s">
        <v>4925</v>
      </c>
      <c r="G1548" s="2034"/>
      <c r="H1548" s="2852" t="s">
        <v>4933</v>
      </c>
      <c r="I1548" s="2034"/>
      <c r="J1548" s="2851">
        <f>'Part VIII Scoring Criteria'!J399</f>
        <v>0</v>
      </c>
      <c r="K1548" s="2012" t="str">
        <f>IF(OR($O1548="",$O$12="4%"),"","Ineligible!")</f>
        <v>Ineligible!</v>
      </c>
      <c r="L1548" s="2842" t="s">
        <v>4892</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5110</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N/A.</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5124</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81.5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5125</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9" t="s">
        <v>2473</v>
      </c>
      <c r="B5" s="4009"/>
      <c r="C5" s="4009"/>
      <c r="D5" s="4009"/>
      <c r="E5" s="4009"/>
      <c r="F5" s="4009"/>
      <c r="G5" s="4009"/>
      <c r="H5" s="4009"/>
      <c r="I5" s="4009"/>
      <c r="J5" s="4009"/>
      <c r="K5" s="4009"/>
      <c r="L5" s="4009"/>
      <c r="M5" s="4009"/>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1" t="s">
        <v>4943</v>
      </c>
      <c r="B11" s="4011"/>
      <c r="C11" s="4011"/>
      <c r="D11" s="4011"/>
      <c r="E11" s="4011"/>
      <c r="F11" s="4011"/>
      <c r="G11" s="4011"/>
      <c r="H11" s="4011"/>
      <c r="I11" s="4011"/>
      <c r="J11" s="4011"/>
      <c r="K11" s="4011"/>
      <c r="L11" s="4011"/>
      <c r="M11" s="4011"/>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3103</v>
      </c>
      <c r="C13" s="4012"/>
      <c r="D13" s="4012"/>
      <c r="E13" s="4012"/>
      <c r="F13" s="4012"/>
      <c r="G13" s="4012"/>
      <c r="H13" s="4012"/>
      <c r="I13" s="4012"/>
      <c r="J13" s="4012"/>
      <c r="K13" s="4012"/>
      <c r="L13" s="4012"/>
      <c r="M13" s="4012"/>
      <c r="U13" s="796" t="s">
        <v>4166</v>
      </c>
    </row>
    <row r="14" spans="1:26" ht="47.25" customHeight="1">
      <c r="A14" s="802" t="s">
        <v>1612</v>
      </c>
      <c r="B14" s="4012" t="s">
        <v>3104</v>
      </c>
      <c r="C14" s="4012"/>
      <c r="D14" s="4012"/>
      <c r="E14" s="4012"/>
      <c r="F14" s="4012"/>
      <c r="G14" s="4012"/>
      <c r="H14" s="4012"/>
      <c r="I14" s="4012"/>
      <c r="J14" s="4012"/>
      <c r="K14" s="4012"/>
      <c r="L14" s="4012"/>
      <c r="M14" s="4012"/>
    </row>
    <row r="15" spans="1:26" ht="117" customHeight="1">
      <c r="A15" s="802" t="s">
        <v>1613</v>
      </c>
      <c r="B15" s="4012" t="s">
        <v>3105</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08" t="s">
        <v>3106</v>
      </c>
      <c r="C19" s="4008"/>
      <c r="D19" s="4008"/>
      <c r="E19" s="4008"/>
      <c r="F19" s="4008"/>
      <c r="G19" s="4008"/>
      <c r="H19" s="4008"/>
      <c r="I19" s="4008"/>
      <c r="J19" s="4008"/>
      <c r="K19" s="4008"/>
      <c r="L19" s="4008"/>
      <c r="M19" s="4008"/>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3002</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3003</v>
      </c>
      <c r="C25" s="4012"/>
      <c r="D25" s="4012"/>
      <c r="E25" s="4012"/>
      <c r="F25" s="4012"/>
      <c r="G25" s="4012"/>
      <c r="H25" s="4012"/>
      <c r="I25" s="4012"/>
      <c r="J25" s="4012"/>
      <c r="K25" s="4012"/>
      <c r="L25" s="4012"/>
      <c r="M25" s="4012"/>
    </row>
    <row r="26" spans="1:13" ht="31.5" customHeight="1">
      <c r="A26" s="802" t="s">
        <v>1373</v>
      </c>
      <c r="B26" s="4012" t="s">
        <v>3004</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ht="16.5">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4" t="s">
        <v>864</v>
      </c>
      <c r="B36" s="4014"/>
      <c r="C36" s="4014"/>
      <c r="D36" s="4014"/>
      <c r="E36" s="4014"/>
      <c r="F36" s="4014"/>
      <c r="G36" s="800"/>
      <c r="H36" s="4014" t="s">
        <v>1834</v>
      </c>
      <c r="I36" s="4014"/>
      <c r="J36" s="4014"/>
      <c r="K36" s="4014"/>
      <c r="L36" s="4014"/>
      <c r="M36" s="4014"/>
    </row>
    <row r="37" spans="1:13" ht="6" customHeight="1">
      <c r="A37" s="800"/>
      <c r="B37" s="800"/>
      <c r="C37" s="800"/>
      <c r="D37" s="800"/>
      <c r="E37" s="800"/>
      <c r="F37" s="800"/>
      <c r="G37" s="800"/>
      <c r="H37" s="800"/>
      <c r="I37" s="800"/>
      <c r="J37" s="800"/>
      <c r="K37" s="800"/>
      <c r="L37" s="800"/>
      <c r="M37" s="800"/>
    </row>
    <row r="38" spans="1:13" ht="16.5">
      <c r="A38" s="4015"/>
      <c r="B38" s="4015"/>
      <c r="C38" s="4015"/>
      <c r="D38" s="4015"/>
      <c r="E38" s="4015"/>
      <c r="F38" s="4015"/>
      <c r="G38" s="800"/>
      <c r="H38" s="4016"/>
      <c r="I38" s="4016"/>
      <c r="J38" s="4016"/>
      <c r="K38" s="4016"/>
      <c r="L38" s="4016"/>
      <c r="M38" s="4016"/>
    </row>
    <row r="39" spans="1:13" ht="12" customHeight="1">
      <c r="A39" s="4014" t="s">
        <v>865</v>
      </c>
      <c r="B39" s="4014"/>
      <c r="C39" s="4014"/>
      <c r="D39" s="4014"/>
      <c r="E39" s="4014"/>
      <c r="F39" s="4014"/>
      <c r="G39" s="800"/>
      <c r="H39" s="4014" t="s">
        <v>866</v>
      </c>
      <c r="I39" s="4014"/>
      <c r="J39" s="4014"/>
      <c r="K39" s="4014"/>
      <c r="L39" s="4014"/>
      <c r="M39" s="401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7" t="s">
        <v>867</v>
      </c>
      <c r="I41" s="4017"/>
      <c r="J41" s="4017"/>
      <c r="K41" s="4017"/>
      <c r="L41" s="4017"/>
      <c r="M41" s="401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A3"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77" t="str">
        <f>'Part I-Project Identification'!F26</f>
        <v>Wesley Square</v>
      </c>
      <c r="E3" s="4078"/>
      <c r="F3" s="4078"/>
      <c r="G3" s="4078"/>
      <c r="H3" s="4078"/>
      <c r="I3" s="4078"/>
      <c r="J3" s="4079" t="s">
        <v>4066</v>
      </c>
      <c r="K3" s="4080"/>
    </row>
    <row r="4" spans="1:11" ht="15" customHeight="1">
      <c r="A4" s="1269" t="s">
        <v>3838</v>
      </c>
      <c r="B4" s="1270"/>
      <c r="C4" s="1271"/>
      <c r="D4" s="4081"/>
      <c r="E4" s="4082"/>
      <c r="F4" s="4082"/>
      <c r="G4" s="4082"/>
      <c r="H4" s="4082"/>
      <c r="I4" s="4082"/>
      <c r="J4" s="4083" t="s">
        <v>3879</v>
      </c>
      <c r="K4" s="4084"/>
    </row>
    <row r="5" spans="1:11" ht="15" customHeight="1" thickBot="1">
      <c r="A5" s="1272" t="s">
        <v>3839</v>
      </c>
      <c r="B5" s="1273"/>
      <c r="C5" s="1274"/>
      <c r="D5" s="4087"/>
      <c r="E5" s="4088"/>
      <c r="F5" s="4088"/>
      <c r="G5" s="4088"/>
      <c r="H5" s="4088"/>
      <c r="I5" s="4088"/>
      <c r="J5" s="4085"/>
      <c r="K5" s="4086"/>
    </row>
    <row r="6" spans="1:11" ht="9" customHeight="1" thickBot="1">
      <c r="E6" s="1264"/>
    </row>
    <row r="7" spans="1:11">
      <c r="A7" s="4071" t="s">
        <v>3841</v>
      </c>
      <c r="B7" s="4072"/>
      <c r="C7" s="4072"/>
      <c r="D7" s="4072"/>
      <c r="E7" s="4072"/>
      <c r="F7" s="4072"/>
      <c r="G7" s="4072"/>
      <c r="H7" s="4072"/>
      <c r="I7" s="4072"/>
      <c r="J7" s="4072"/>
      <c r="K7" s="4073"/>
    </row>
    <row r="8" spans="1:11" ht="14.25" customHeight="1">
      <c r="A8" s="1270"/>
      <c r="B8" s="1270"/>
      <c r="C8" s="1482">
        <v>1</v>
      </c>
      <c r="D8" s="1289" t="s">
        <v>3842</v>
      </c>
      <c r="E8" s="1289"/>
      <c r="F8" s="1289"/>
      <c r="G8" s="1289"/>
      <c r="H8" s="1289"/>
      <c r="I8" s="1289"/>
      <c r="J8" s="4091"/>
      <c r="K8" s="4092"/>
    </row>
    <row r="9" spans="1:11" ht="7.15" customHeight="1">
      <c r="A9" s="4067"/>
      <c r="B9" s="4067"/>
      <c r="C9" s="4067"/>
      <c r="D9" s="4068"/>
      <c r="E9" s="4068"/>
      <c r="F9" s="4068"/>
      <c r="G9" s="4068"/>
      <c r="H9" s="4068"/>
      <c r="I9" s="4068"/>
      <c r="J9" s="4068"/>
      <c r="K9" s="1290"/>
    </row>
    <row r="10" spans="1:11">
      <c r="A10" s="4093" t="s">
        <v>3843</v>
      </c>
      <c r="B10" s="4094"/>
      <c r="C10" s="4094"/>
      <c r="D10" s="4094"/>
      <c r="E10" s="4094"/>
      <c r="F10" s="4094"/>
      <c r="G10" s="4094"/>
      <c r="H10" s="4094"/>
      <c r="I10" s="4094"/>
      <c r="J10" s="4094"/>
      <c r="K10" s="4095"/>
    </row>
    <row r="11" spans="1:11" ht="14.25" customHeight="1">
      <c r="A11" s="1270"/>
      <c r="B11" s="1270"/>
      <c r="C11" s="1482">
        <v>2</v>
      </c>
      <c r="D11" s="1289" t="s">
        <v>3844</v>
      </c>
      <c r="E11" s="1291"/>
      <c r="F11" s="1291"/>
      <c r="G11" s="1291"/>
      <c r="H11" s="1291"/>
      <c r="I11" s="1291"/>
      <c r="J11" s="4096"/>
      <c r="K11" s="4097"/>
    </row>
    <row r="12" spans="1:11" ht="7.15" customHeight="1">
      <c r="A12" s="4067"/>
      <c r="B12" s="4067"/>
      <c r="C12" s="4067"/>
      <c r="D12" s="4068"/>
      <c r="E12" s="4068"/>
      <c r="F12" s="4068"/>
      <c r="G12" s="4068"/>
      <c r="H12" s="4068"/>
      <c r="I12" s="4068"/>
      <c r="J12" s="4068"/>
      <c r="K12" s="1292"/>
    </row>
    <row r="13" spans="1:11">
      <c r="A13" s="4093" t="s">
        <v>3845</v>
      </c>
      <c r="B13" s="4094"/>
      <c r="C13" s="4094"/>
      <c r="D13" s="4094"/>
      <c r="E13" s="4094"/>
      <c r="F13" s="4094"/>
      <c r="G13" s="4094"/>
      <c r="H13" s="4094"/>
      <c r="I13" s="4094"/>
      <c r="J13" s="4094"/>
      <c r="K13" s="4095"/>
    </row>
    <row r="14" spans="1:11" ht="14.25" customHeight="1">
      <c r="A14" s="1270"/>
      <c r="B14" s="1270"/>
      <c r="C14" s="1483">
        <v>3</v>
      </c>
      <c r="D14" s="1293" t="s">
        <v>3846</v>
      </c>
      <c r="E14" s="1293"/>
      <c r="F14" s="1293"/>
      <c r="G14" s="1293"/>
      <c r="H14" s="1293"/>
      <c r="I14" s="1293"/>
      <c r="J14" s="4098"/>
      <c r="K14" s="4099"/>
    </row>
    <row r="15" spans="1:11" ht="14.25" customHeight="1">
      <c r="A15" s="1270"/>
      <c r="B15" s="1270"/>
      <c r="C15" s="1484">
        <v>4</v>
      </c>
      <c r="D15" s="1270" t="s">
        <v>3847</v>
      </c>
      <c r="E15" s="1270"/>
      <c r="F15" s="1270"/>
      <c r="G15" s="1270"/>
      <c r="H15" s="1270"/>
      <c r="I15" s="1270"/>
      <c r="J15" s="4063"/>
      <c r="K15" s="4064"/>
    </row>
    <row r="16" spans="1:11" ht="14.25" customHeight="1">
      <c r="A16" s="1270"/>
      <c r="B16" s="1270"/>
      <c r="C16" s="1484">
        <v>5</v>
      </c>
      <c r="D16" s="1270" t="s">
        <v>3848</v>
      </c>
      <c r="E16" s="1270"/>
      <c r="F16" s="1270"/>
      <c r="G16" s="1270"/>
      <c r="H16" s="1270"/>
      <c r="I16" s="1270"/>
      <c r="J16" s="4063"/>
      <c r="K16" s="4064"/>
    </row>
    <row r="17" spans="1:13" ht="14.25" customHeight="1">
      <c r="A17" s="1270"/>
      <c r="B17" s="1270"/>
      <c r="C17" s="1485">
        <v>6</v>
      </c>
      <c r="D17" s="1273" t="s">
        <v>3849</v>
      </c>
      <c r="E17" s="1273"/>
      <c r="F17" s="1273"/>
      <c r="G17" s="1273"/>
      <c r="H17" s="1273"/>
      <c r="I17" s="1273"/>
      <c r="J17" s="4065"/>
      <c r="K17" s="4066"/>
    </row>
    <row r="18" spans="1:13" ht="7.15" customHeight="1">
      <c r="A18" s="4067"/>
      <c r="B18" s="4067"/>
      <c r="C18" s="4067"/>
      <c r="D18" s="4068"/>
      <c r="E18" s="4068"/>
      <c r="F18" s="4068"/>
      <c r="G18" s="4068"/>
      <c r="H18" s="4068"/>
      <c r="I18" s="4068"/>
      <c r="J18" s="4068"/>
      <c r="K18" s="1292"/>
    </row>
    <row r="19" spans="1:13" ht="14.25" customHeight="1">
      <c r="A19" s="1270"/>
      <c r="B19" s="1270"/>
      <c r="C19" s="1483">
        <v>7</v>
      </c>
      <c r="D19" s="1293" t="s">
        <v>3850</v>
      </c>
      <c r="E19" s="1293"/>
      <c r="F19" s="1293"/>
      <c r="G19" s="1293"/>
      <c r="H19" s="1293"/>
      <c r="I19" s="1293"/>
      <c r="J19" s="4089" t="str">
        <f>IF(J17="No",J14-J15,IF(J17="Yes",J14-J15-J16,"Error"))</f>
        <v>Error</v>
      </c>
      <c r="K19" s="4090"/>
    </row>
    <row r="20" spans="1:13" ht="14.25" customHeight="1">
      <c r="A20" s="1270"/>
      <c r="B20" s="1270"/>
      <c r="C20" s="1485">
        <v>8</v>
      </c>
      <c r="D20" s="1273" t="s">
        <v>3851</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482">
        <v>9</v>
      </c>
      <c r="D22" s="1294" t="s">
        <v>3852</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3883</v>
      </c>
      <c r="B30" s="4055"/>
      <c r="C30" s="4055"/>
      <c r="D30" s="4055"/>
      <c r="E30" s="4055"/>
      <c r="F30" s="4055"/>
      <c r="G30" s="4055"/>
      <c r="H30" s="4055"/>
      <c r="I30" s="4055"/>
      <c r="J30" s="4055"/>
      <c r="K30" s="4056"/>
    </row>
    <row r="31" spans="1:13">
      <c r="B31" s="4057" t="s">
        <v>4066</v>
      </c>
      <c r="C31" s="4057"/>
      <c r="D31" s="4057"/>
      <c r="E31" s="4057"/>
      <c r="F31" s="4057"/>
      <c r="G31" s="4058" t="s">
        <v>3854</v>
      </c>
      <c r="H31" s="4059"/>
      <c r="I31" s="4059"/>
      <c r="J31" s="4059"/>
      <c r="K31" s="4060"/>
    </row>
    <row r="32" spans="1:13" ht="56.25" customHeight="1">
      <c r="A32" s="1288"/>
      <c r="B32" s="1306" t="s">
        <v>3882</v>
      </c>
      <c r="C32" s="1307" t="s">
        <v>3878</v>
      </c>
      <c r="D32" s="1307" t="s">
        <v>3877</v>
      </c>
      <c r="E32" s="4061" t="s">
        <v>3998</v>
      </c>
      <c r="F32" s="4062"/>
      <c r="G32" s="1308" t="s">
        <v>3855</v>
      </c>
      <c r="H32" s="1308" t="s">
        <v>3856</v>
      </c>
      <c r="J32" s="1308" t="s">
        <v>3857</v>
      </c>
      <c r="K32" s="1308" t="s">
        <v>3858</v>
      </c>
      <c r="L32" s="4047" t="s">
        <v>3859</v>
      </c>
      <c r="M32" s="4047"/>
    </row>
    <row r="33" spans="2:14" ht="12.75" customHeight="1">
      <c r="B33" s="1473"/>
      <c r="C33" s="1474"/>
      <c r="D33" s="1475"/>
      <c r="E33" s="4048"/>
      <c r="F33" s="4049"/>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76"/>
      <c r="C34" s="1477"/>
      <c r="D34" s="1478"/>
      <c r="E34" s="4043"/>
      <c r="F34" s="4044"/>
      <c r="G34" s="1328" t="e">
        <f t="shared" si="0"/>
        <v>#VALUE!</v>
      </c>
      <c r="H34" s="1329" t="e">
        <f t="shared" ref="H34:H51" si="3">ROUNDUP(G34,0)</f>
        <v>#VALUE!</v>
      </c>
      <c r="I34" s="1326"/>
      <c r="J34" s="1330" t="e">
        <f t="shared" si="1"/>
        <v>#VALUE!</v>
      </c>
      <c r="K34" s="1330" t="e">
        <f t="shared" si="2"/>
        <v>#VALUE!</v>
      </c>
      <c r="L34" s="4047"/>
      <c r="M34" s="4047"/>
    </row>
    <row r="35" spans="2:14" ht="12.75" customHeight="1">
      <c r="B35" s="1476"/>
      <c r="C35" s="1477"/>
      <c r="D35" s="1478"/>
      <c r="E35" s="4043"/>
      <c r="F35" s="4044"/>
      <c r="G35" s="1328" t="e">
        <f t="shared" si="0"/>
        <v>#VALUE!</v>
      </c>
      <c r="H35" s="1329" t="e">
        <f t="shared" si="3"/>
        <v>#VALUE!</v>
      </c>
      <c r="I35" s="1326"/>
      <c r="J35" s="1330" t="e">
        <f t="shared" si="1"/>
        <v>#VALUE!</v>
      </c>
      <c r="K35" s="1330" t="e">
        <f t="shared" si="2"/>
        <v>#VALUE!</v>
      </c>
      <c r="L35" s="4047"/>
      <c r="M35" s="4047"/>
    </row>
    <row r="36" spans="2:14" ht="12.75" customHeight="1">
      <c r="B36" s="1476"/>
      <c r="C36" s="1477"/>
      <c r="D36" s="1478"/>
      <c r="E36" s="4043"/>
      <c r="F36" s="4044"/>
      <c r="G36" s="1328" t="e">
        <f t="shared" si="0"/>
        <v>#VALUE!</v>
      </c>
      <c r="H36" s="1329" t="e">
        <f t="shared" si="3"/>
        <v>#VALUE!</v>
      </c>
      <c r="I36" s="1326"/>
      <c r="J36" s="1330" t="e">
        <f t="shared" si="1"/>
        <v>#VALUE!</v>
      </c>
      <c r="K36" s="1330" t="e">
        <f t="shared" si="2"/>
        <v>#VALUE!</v>
      </c>
      <c r="L36" s="4047"/>
      <c r="M36" s="4047"/>
      <c r="N36" s="1283"/>
    </row>
    <row r="37" spans="2:14" ht="12.75" customHeight="1">
      <c r="B37" s="1476"/>
      <c r="C37" s="1477"/>
      <c r="D37" s="1478"/>
      <c r="E37" s="4043"/>
      <c r="F37" s="4044"/>
      <c r="G37" s="1328" t="e">
        <f t="shared" si="0"/>
        <v>#VALUE!</v>
      </c>
      <c r="H37" s="1329" t="e">
        <f t="shared" si="3"/>
        <v>#VALUE!</v>
      </c>
      <c r="I37" s="1326"/>
      <c r="J37" s="1330" t="e">
        <f t="shared" si="1"/>
        <v>#VALUE!</v>
      </c>
      <c r="K37" s="1330" t="e">
        <f t="shared" si="2"/>
        <v>#VALUE!</v>
      </c>
      <c r="L37" s="4047"/>
      <c r="M37" s="4047"/>
    </row>
    <row r="38" spans="2:14" ht="12.75" customHeight="1">
      <c r="B38" s="1476"/>
      <c r="C38" s="1477"/>
      <c r="D38" s="1478"/>
      <c r="E38" s="4043"/>
      <c r="F38" s="4044"/>
      <c r="G38" s="1328" t="e">
        <f t="shared" si="0"/>
        <v>#VALUE!</v>
      </c>
      <c r="H38" s="1329" t="e">
        <f t="shared" si="3"/>
        <v>#VALUE!</v>
      </c>
      <c r="I38" s="1326"/>
      <c r="J38" s="1330" t="e">
        <f t="shared" si="1"/>
        <v>#VALUE!</v>
      </c>
      <c r="K38" s="1330" t="e">
        <f t="shared" si="2"/>
        <v>#VALUE!</v>
      </c>
      <c r="L38" s="4047"/>
      <c r="M38" s="4047"/>
    </row>
    <row r="39" spans="2:14" ht="12.75" customHeight="1">
      <c r="B39" s="1476"/>
      <c r="C39" s="1477"/>
      <c r="D39" s="1478"/>
      <c r="E39" s="4043"/>
      <c r="F39" s="4044"/>
      <c r="G39" s="1328" t="e">
        <f t="shared" si="0"/>
        <v>#VALUE!</v>
      </c>
      <c r="H39" s="1329" t="e">
        <f t="shared" si="3"/>
        <v>#VALUE!</v>
      </c>
      <c r="I39" s="1326"/>
      <c r="J39" s="1330" t="e">
        <f t="shared" si="1"/>
        <v>#VALUE!</v>
      </c>
      <c r="K39" s="1330" t="e">
        <f t="shared" si="2"/>
        <v>#VALUE!</v>
      </c>
      <c r="L39" s="4047"/>
      <c r="M39" s="4047"/>
    </row>
    <row r="40" spans="2:14" ht="12.75" customHeight="1">
      <c r="B40" s="1476"/>
      <c r="C40" s="1477"/>
      <c r="D40" s="1478"/>
      <c r="E40" s="4043"/>
      <c r="F40" s="4044"/>
      <c r="G40" s="1328" t="e">
        <f t="shared" si="0"/>
        <v>#VALUE!</v>
      </c>
      <c r="H40" s="1329" t="e">
        <f t="shared" si="3"/>
        <v>#VALUE!</v>
      </c>
      <c r="I40" s="1326"/>
      <c r="J40" s="1330" t="e">
        <f t="shared" si="1"/>
        <v>#VALUE!</v>
      </c>
      <c r="K40" s="1330" t="e">
        <f t="shared" si="2"/>
        <v>#VALUE!</v>
      </c>
      <c r="L40" s="4047"/>
      <c r="M40" s="4047"/>
    </row>
    <row r="41" spans="2:14" ht="12.75" customHeight="1">
      <c r="B41" s="1476"/>
      <c r="C41" s="1477"/>
      <c r="D41" s="1478"/>
      <c r="E41" s="4043"/>
      <c r="F41" s="4044"/>
      <c r="G41" s="1328" t="e">
        <f t="shared" si="0"/>
        <v>#VALUE!</v>
      </c>
      <c r="H41" s="1329" t="e">
        <f t="shared" si="3"/>
        <v>#VALUE!</v>
      </c>
      <c r="I41" s="1326"/>
      <c r="J41" s="1330" t="e">
        <f t="shared" si="1"/>
        <v>#VALUE!</v>
      </c>
      <c r="K41" s="1330" t="e">
        <f t="shared" si="2"/>
        <v>#VALUE!</v>
      </c>
      <c r="L41" s="4047"/>
      <c r="M41" s="4047"/>
    </row>
    <row r="42" spans="2:14" ht="12.75" customHeight="1">
      <c r="B42" s="1476"/>
      <c r="C42" s="1477"/>
      <c r="D42" s="1478"/>
      <c r="E42" s="4043"/>
      <c r="F42" s="4044"/>
      <c r="G42" s="1328" t="e">
        <f t="shared" si="0"/>
        <v>#VALUE!</v>
      </c>
      <c r="H42" s="1329" t="e">
        <f t="shared" si="3"/>
        <v>#VALUE!</v>
      </c>
      <c r="I42" s="1326"/>
      <c r="J42" s="1330" t="e">
        <f t="shared" si="1"/>
        <v>#VALUE!</v>
      </c>
      <c r="K42" s="1330" t="e">
        <f t="shared" si="2"/>
        <v>#VALUE!</v>
      </c>
      <c r="L42" s="4047"/>
      <c r="M42" s="4047"/>
    </row>
    <row r="43" spans="2:14" ht="12.75" customHeight="1">
      <c r="B43" s="1476"/>
      <c r="C43" s="1477"/>
      <c r="D43" s="1478"/>
      <c r="E43" s="4043"/>
      <c r="F43" s="4044"/>
      <c r="G43" s="1328" t="e">
        <f t="shared" si="0"/>
        <v>#VALUE!</v>
      </c>
      <c r="H43" s="1329" t="e">
        <f t="shared" si="3"/>
        <v>#VALUE!</v>
      </c>
      <c r="I43" s="1326"/>
      <c r="J43" s="1330" t="e">
        <f t="shared" si="1"/>
        <v>#VALUE!</v>
      </c>
      <c r="K43" s="1330" t="e">
        <f t="shared" si="2"/>
        <v>#VALUE!</v>
      </c>
      <c r="L43" s="4047"/>
      <c r="M43" s="4047"/>
    </row>
    <row r="44" spans="2:14" ht="12.75" customHeight="1">
      <c r="B44" s="1476"/>
      <c r="C44" s="1477"/>
      <c r="D44" s="1478"/>
      <c r="E44" s="4043"/>
      <c r="F44" s="4044"/>
      <c r="G44" s="1328" t="e">
        <f t="shared" si="0"/>
        <v>#VALUE!</v>
      </c>
      <c r="H44" s="1329" t="e">
        <f t="shared" si="3"/>
        <v>#VALUE!</v>
      </c>
      <c r="I44" s="1326"/>
      <c r="J44" s="1330" t="e">
        <f t="shared" si="1"/>
        <v>#VALUE!</v>
      </c>
      <c r="K44" s="1330" t="e">
        <f t="shared" si="2"/>
        <v>#VALUE!</v>
      </c>
      <c r="L44" s="4047"/>
      <c r="M44" s="4047"/>
    </row>
    <row r="45" spans="2:14" ht="12.75" customHeight="1">
      <c r="B45" s="1476"/>
      <c r="C45" s="1477"/>
      <c r="D45" s="1478"/>
      <c r="E45" s="4043"/>
      <c r="F45" s="4044"/>
      <c r="G45" s="1328" t="e">
        <f t="shared" si="0"/>
        <v>#VALUE!</v>
      </c>
      <c r="H45" s="1329" t="e">
        <f t="shared" si="3"/>
        <v>#VALUE!</v>
      </c>
      <c r="I45" s="1326"/>
      <c r="J45" s="1330" t="e">
        <f t="shared" si="1"/>
        <v>#VALUE!</v>
      </c>
      <c r="K45" s="1330" t="e">
        <f t="shared" si="2"/>
        <v>#VALUE!</v>
      </c>
      <c r="L45" s="4047"/>
      <c r="M45" s="4047"/>
    </row>
    <row r="46" spans="2:14" ht="12.75" customHeight="1">
      <c r="B46" s="1476"/>
      <c r="C46" s="1477"/>
      <c r="D46" s="1478"/>
      <c r="E46" s="4043"/>
      <c r="F46" s="4044"/>
      <c r="G46" s="1328" t="e">
        <f t="shared" si="0"/>
        <v>#VALUE!</v>
      </c>
      <c r="H46" s="1329" t="e">
        <f t="shared" si="3"/>
        <v>#VALUE!</v>
      </c>
      <c r="I46" s="1326"/>
      <c r="J46" s="1330" t="e">
        <f t="shared" si="1"/>
        <v>#VALUE!</v>
      </c>
      <c r="K46" s="1330" t="e">
        <f t="shared" si="2"/>
        <v>#VALUE!</v>
      </c>
      <c r="L46" s="4047"/>
      <c r="M46" s="4047"/>
    </row>
    <row r="47" spans="2:14" ht="12.75" customHeight="1">
      <c r="B47" s="1476"/>
      <c r="C47" s="1477"/>
      <c r="D47" s="1478"/>
      <c r="E47" s="4043"/>
      <c r="F47" s="4044"/>
      <c r="G47" s="1328" t="e">
        <f t="shared" si="0"/>
        <v>#VALUE!</v>
      </c>
      <c r="H47" s="1329" t="e">
        <f t="shared" si="3"/>
        <v>#VALUE!</v>
      </c>
      <c r="I47" s="1326"/>
      <c r="J47" s="1330" t="e">
        <f t="shared" si="1"/>
        <v>#VALUE!</v>
      </c>
      <c r="K47" s="1330" t="e">
        <f t="shared" si="2"/>
        <v>#VALUE!</v>
      </c>
      <c r="L47" s="4047"/>
      <c r="M47" s="4047"/>
    </row>
    <row r="48" spans="2:14" ht="12.75" customHeight="1">
      <c r="B48" s="1476"/>
      <c r="C48" s="1477"/>
      <c r="D48" s="1478"/>
      <c r="E48" s="4043"/>
      <c r="F48" s="4044"/>
      <c r="G48" s="1328" t="e">
        <f t="shared" si="0"/>
        <v>#VALUE!</v>
      </c>
      <c r="H48" s="1329" t="e">
        <f t="shared" si="3"/>
        <v>#VALUE!</v>
      </c>
      <c r="I48" s="1326"/>
      <c r="J48" s="1330" t="e">
        <f t="shared" si="1"/>
        <v>#VALUE!</v>
      </c>
      <c r="K48" s="1330" t="e">
        <f t="shared" si="2"/>
        <v>#VALUE!</v>
      </c>
      <c r="L48" s="4047"/>
      <c r="M48" s="4047"/>
    </row>
    <row r="49" spans="1:13" ht="12.75" customHeight="1">
      <c r="B49" s="1476"/>
      <c r="C49" s="1477"/>
      <c r="D49" s="1478"/>
      <c r="E49" s="4043"/>
      <c r="F49" s="4044"/>
      <c r="G49" s="1328" t="e">
        <f t="shared" si="0"/>
        <v>#VALUE!</v>
      </c>
      <c r="H49" s="1329" t="e">
        <f t="shared" si="3"/>
        <v>#VALUE!</v>
      </c>
      <c r="I49" s="1326"/>
      <c r="J49" s="1330" t="e">
        <f t="shared" si="1"/>
        <v>#VALUE!</v>
      </c>
      <c r="K49" s="1330" t="e">
        <f t="shared" si="2"/>
        <v>#VALUE!</v>
      </c>
      <c r="L49" s="4047"/>
      <c r="M49" s="4047"/>
    </row>
    <row r="50" spans="1:13" ht="12.75" customHeight="1">
      <c r="B50" s="1476"/>
      <c r="C50" s="1477"/>
      <c r="D50" s="1478"/>
      <c r="E50" s="4043"/>
      <c r="F50" s="4044"/>
      <c r="G50" s="1328" t="e">
        <f t="shared" si="0"/>
        <v>#VALUE!</v>
      </c>
      <c r="H50" s="1329" t="e">
        <f t="shared" si="3"/>
        <v>#VALUE!</v>
      </c>
      <c r="I50" s="1326"/>
      <c r="J50" s="1330" t="e">
        <f t="shared" si="1"/>
        <v>#VALUE!</v>
      </c>
      <c r="K50" s="1330" t="e">
        <f t="shared" si="2"/>
        <v>#VALUE!</v>
      </c>
      <c r="L50" s="4047"/>
      <c r="M50" s="4047"/>
    </row>
    <row r="51" spans="1:13" ht="12.75" customHeight="1" thickBot="1">
      <c r="B51" s="1479"/>
      <c r="C51" s="1480"/>
      <c r="D51" s="1481"/>
      <c r="E51" s="4045"/>
      <c r="F51" s="4046"/>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3860</v>
      </c>
      <c r="H52" s="1309" t="e">
        <f>SUM(H33:H51)</f>
        <v>#VALUE!</v>
      </c>
      <c r="I52" s="1293"/>
      <c r="J52" s="1299" t="s">
        <v>3861</v>
      </c>
      <c r="K52" s="1295" t="e">
        <f>SUM(K33:K51)</f>
        <v>#VALUE!</v>
      </c>
      <c r="L52" s="4047"/>
      <c r="M52" s="4047"/>
    </row>
    <row r="53" spans="1:13" ht="15" customHeight="1">
      <c r="B53" s="1300"/>
      <c r="C53" s="4050" t="s">
        <v>3862</v>
      </c>
      <c r="D53" s="4050"/>
      <c r="E53" s="4050"/>
      <c r="F53" s="4050"/>
      <c r="G53" s="4050"/>
      <c r="H53" s="4050"/>
      <c r="I53" s="4050"/>
      <c r="J53" s="4051"/>
      <c r="K53" s="1301" t="str">
        <f>IF(J17="no",0,IF(J17="yes",J16,"Error"))</f>
        <v>Error</v>
      </c>
      <c r="L53" s="4047"/>
      <c r="M53" s="4047"/>
    </row>
    <row r="54" spans="1:13" ht="15" customHeight="1" thickBot="1">
      <c r="B54" s="1300"/>
      <c r="C54" s="4031" t="s">
        <v>3863</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3864</v>
      </c>
      <c r="B56" s="4029"/>
      <c r="C56" s="4029"/>
      <c r="D56" s="4029"/>
      <c r="E56" s="4029"/>
      <c r="F56" s="4029"/>
      <c r="G56" s="4029"/>
      <c r="H56" s="4029"/>
      <c r="I56" s="4029"/>
      <c r="J56" s="4029"/>
      <c r="K56" s="4030"/>
    </row>
    <row r="57" spans="1:13" ht="48" customHeight="1">
      <c r="A57" s="1285"/>
      <c r="B57" s="1276"/>
      <c r="C57" s="1287" t="s">
        <v>3865</v>
      </c>
      <c r="D57" s="1398" t="s">
        <v>3963</v>
      </c>
      <c r="E57" s="4034" t="s">
        <v>3881</v>
      </c>
      <c r="F57" s="4035"/>
      <c r="G57" s="4036" t="s">
        <v>3866</v>
      </c>
      <c r="H57" s="4037"/>
      <c r="I57" s="4034" t="s">
        <v>3880</v>
      </c>
      <c r="J57" s="4035"/>
      <c r="K57" s="4038"/>
      <c r="L57" s="4074" t="s">
        <v>5022</v>
      </c>
      <c r="M57" s="4075"/>
    </row>
    <row r="58" spans="1:13" ht="15" customHeight="1">
      <c r="A58" s="1388"/>
      <c r="B58" s="1318"/>
      <c r="C58" s="1296">
        <f>SUMIF(C33:C51, "0", H33:H51)</f>
        <v>0</v>
      </c>
      <c r="D58" s="1399">
        <f t="shared" ref="D58:D63" si="4">ROUNDUP(C58*1.1,0)</f>
        <v>0</v>
      </c>
      <c r="E58" s="4040" t="s">
        <v>3867</v>
      </c>
      <c r="F58" s="4041"/>
      <c r="G58" s="4021" t="e">
        <f>#REF!</f>
        <v>#REF!</v>
      </c>
      <c r="H58" s="4022"/>
      <c r="I58" s="4042" t="e">
        <f t="shared" ref="I58:I63" si="5">D58*G58</f>
        <v>#REF!</v>
      </c>
      <c r="J58" s="4042"/>
      <c r="K58" s="4039"/>
      <c r="L58" s="4076"/>
      <c r="M58" s="4075"/>
    </row>
    <row r="59" spans="1:13">
      <c r="A59" s="1388"/>
      <c r="B59" s="1318"/>
      <c r="C59" s="1297">
        <f>SUMIF(C33:C51, "1", H33:H51)</f>
        <v>0</v>
      </c>
      <c r="D59" s="1400">
        <f t="shared" si="4"/>
        <v>0</v>
      </c>
      <c r="E59" s="4019" t="s">
        <v>2455</v>
      </c>
      <c r="F59" s="4020"/>
      <c r="G59" s="4021" t="e">
        <f>#REF!</f>
        <v>#REF!</v>
      </c>
      <c r="H59" s="4022"/>
      <c r="I59" s="4023" t="e">
        <f t="shared" si="5"/>
        <v>#REF!</v>
      </c>
      <c r="J59" s="4023"/>
      <c r="K59" s="4039"/>
      <c r="L59" s="4076"/>
      <c r="M59" s="4075"/>
    </row>
    <row r="60" spans="1:13" ht="15" customHeight="1">
      <c r="A60" s="1388"/>
      <c r="B60" s="1318"/>
      <c r="C60" s="1297">
        <f>SUMIF(C33:C51, "2", H33:H51)</f>
        <v>0</v>
      </c>
      <c r="D60" s="1400">
        <f t="shared" si="4"/>
        <v>0</v>
      </c>
      <c r="E60" s="4019" t="s">
        <v>2456</v>
      </c>
      <c r="F60" s="4020"/>
      <c r="G60" s="4021" t="e">
        <f>#REF!</f>
        <v>#REF!</v>
      </c>
      <c r="H60" s="4022"/>
      <c r="I60" s="4023" t="e">
        <f t="shared" si="5"/>
        <v>#REF!</v>
      </c>
      <c r="J60" s="4023"/>
      <c r="K60" s="4039"/>
      <c r="L60" s="4076"/>
      <c r="M60" s="4075"/>
    </row>
    <row r="61" spans="1:13">
      <c r="A61" s="1388"/>
      <c r="B61" s="1318"/>
      <c r="C61" s="1297">
        <f>SUMIF(C33:C51, "3", H33:H51)</f>
        <v>0</v>
      </c>
      <c r="D61" s="1400">
        <f t="shared" si="4"/>
        <v>0</v>
      </c>
      <c r="E61" s="4019" t="s">
        <v>2459</v>
      </c>
      <c r="F61" s="4020"/>
      <c r="G61" s="4021" t="e">
        <f>#REF!</f>
        <v>#REF!</v>
      </c>
      <c r="H61" s="4022"/>
      <c r="I61" s="4023" t="e">
        <f t="shared" si="5"/>
        <v>#REF!</v>
      </c>
      <c r="J61" s="4023"/>
      <c r="K61" s="4039"/>
      <c r="L61" s="4076"/>
      <c r="M61" s="4075"/>
    </row>
    <row r="62" spans="1:13">
      <c r="A62" s="1388"/>
      <c r="B62" s="1318"/>
      <c r="C62" s="1297">
        <f>SUMIF(C33:C51, "4", H33:H51)</f>
        <v>0</v>
      </c>
      <c r="D62" s="1400">
        <f t="shared" si="4"/>
        <v>0</v>
      </c>
      <c r="E62" s="4019" t="s">
        <v>3868</v>
      </c>
      <c r="F62" s="4020"/>
      <c r="G62" s="4021" t="e">
        <f>#REF!</f>
        <v>#REF!</v>
      </c>
      <c r="H62" s="4022"/>
      <c r="I62" s="4023" t="e">
        <f t="shared" si="5"/>
        <v>#REF!</v>
      </c>
      <c r="J62" s="4023"/>
      <c r="K62" s="4039"/>
      <c r="L62" s="4076"/>
      <c r="M62" s="4075"/>
    </row>
    <row r="63" spans="1:13">
      <c r="A63" s="1397"/>
      <c r="B63" s="1319"/>
      <c r="C63" s="1298">
        <f>SUMIF(C33:C51, "5", H33:H51)</f>
        <v>0</v>
      </c>
      <c r="D63" s="1401">
        <f t="shared" si="4"/>
        <v>0</v>
      </c>
      <c r="E63" s="4024" t="s">
        <v>3869</v>
      </c>
      <c r="F63" s="4025"/>
      <c r="G63" s="4021" t="e">
        <f>#REF!</f>
        <v>#REF!</v>
      </c>
      <c r="H63" s="4022"/>
      <c r="I63" s="4026" t="e">
        <f t="shared" si="5"/>
        <v>#REF!</v>
      </c>
      <c r="J63" s="4026"/>
      <c r="K63" s="1321"/>
      <c r="L63" s="4076"/>
      <c r="M63" s="4075"/>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27"/>
      <c r="B65" s="4027"/>
      <c r="C65" s="4027"/>
      <c r="D65" s="4027"/>
      <c r="E65" s="4027"/>
      <c r="F65" s="4027"/>
      <c r="G65" s="4027"/>
      <c r="H65" s="4027"/>
      <c r="I65" s="4027"/>
      <c r="J65" s="4027"/>
    </row>
    <row r="66" spans="1:11">
      <c r="A66" s="4028" t="s">
        <v>3872</v>
      </c>
      <c r="B66" s="4029"/>
      <c r="C66" s="4029"/>
      <c r="D66" s="4029"/>
      <c r="E66" s="4029"/>
      <c r="F66" s="4029"/>
      <c r="G66" s="4029"/>
      <c r="H66" s="4029"/>
      <c r="I66" s="4029"/>
      <c r="J66" s="4029"/>
      <c r="K66" s="4030"/>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18" t="s">
        <v>3876</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2" t="e">
        <f>CONCATENATE("PART SEVEN - THRESHOLD CRITERIA","  -  ",#REF!," ",#REF!,", ",#REF!,", ",#REF!," County")</f>
        <v>#REF!</v>
      </c>
      <c r="B1" s="3223"/>
      <c r="C1" s="3223"/>
      <c r="D1" s="3223"/>
      <c r="E1" s="3223"/>
      <c r="F1" s="3223"/>
      <c r="G1" s="3223"/>
      <c r="H1" s="3223"/>
      <c r="I1" s="3223"/>
      <c r="J1" s="3223"/>
      <c r="K1" s="3223"/>
      <c r="L1" s="3223"/>
      <c r="M1" s="3223"/>
      <c r="N1" s="3223"/>
      <c r="O1" s="3223"/>
      <c r="P1" s="3223"/>
      <c r="Q1" s="3223"/>
      <c r="R1" s="1714"/>
      <c r="S1" s="1714"/>
    </row>
    <row r="2" spans="1:19" customFormat="1" ht="3" customHeight="1">
      <c r="R2" s="1714"/>
      <c r="S2" s="1714"/>
    </row>
    <row r="3" spans="1:19" ht="13.5" customHeight="1">
      <c r="A3" s="42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0"/>
      <c r="C3" s="4220"/>
      <c r="D3" s="4220"/>
      <c r="E3" s="4220"/>
      <c r="F3" s="4220"/>
      <c r="G3" s="4220"/>
      <c r="H3" s="42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0"/>
      <c r="J3" s="4220"/>
      <c r="K3" s="4220"/>
      <c r="L3" s="4220"/>
      <c r="M3" s="4220"/>
      <c r="N3" s="4220"/>
      <c r="P3" s="4230" t="s">
        <v>875</v>
      </c>
      <c r="Q3" s="4276" t="s">
        <v>4424</v>
      </c>
      <c r="R3" s="1714"/>
      <c r="S3" s="1714"/>
    </row>
    <row r="4" spans="1:19" ht="3" customHeight="1">
      <c r="A4" s="674"/>
      <c r="B4" s="4221"/>
      <c r="C4" s="4221"/>
      <c r="D4" s="4221"/>
      <c r="E4" s="674"/>
      <c r="F4" s="674"/>
      <c r="G4" s="674"/>
      <c r="H4" s="674"/>
      <c r="J4" s="489"/>
      <c r="K4" s="674"/>
      <c r="L4" s="674"/>
      <c r="M4" s="674"/>
      <c r="N4" s="674"/>
      <c r="P4" s="4231"/>
      <c r="Q4" s="4277"/>
      <c r="R4" s="1714"/>
      <c r="S4" s="1714"/>
    </row>
    <row r="5" spans="1:19">
      <c r="E5" s="4229" t="e">
        <f>#REF!</f>
        <v>#REF!</v>
      </c>
      <c r="F5" s="4229"/>
      <c r="G5" s="4229"/>
      <c r="H5" s="4229"/>
      <c r="I5" s="4229"/>
      <c r="J5" s="489"/>
      <c r="K5" s="1715"/>
      <c r="L5" s="1716" t="s">
        <v>4423</v>
      </c>
      <c r="M5" s="1717" t="e">
        <f>#REF!</f>
        <v>#REF!</v>
      </c>
      <c r="N5" s="1718"/>
      <c r="O5" s="1719"/>
      <c r="P5" s="4232"/>
      <c r="Q5" s="4278"/>
      <c r="R5" s="1516"/>
      <c r="S5" s="1516"/>
    </row>
    <row r="6" spans="1:19" ht="17.25" customHeight="1">
      <c r="A6" s="96" t="s">
        <v>4422</v>
      </c>
      <c r="I6" s="489"/>
      <c r="J6" s="489"/>
      <c r="K6" s="4227" t="s">
        <v>3195</v>
      </c>
      <c r="L6" s="4227"/>
      <c r="M6" s="4227"/>
      <c r="N6" s="4227"/>
      <c r="O6" s="4228"/>
      <c r="P6" s="4222"/>
      <c r="Q6" s="4223"/>
      <c r="R6" s="1516"/>
      <c r="S6" s="1516"/>
    </row>
    <row r="7" spans="1:19" ht="12.6" customHeight="1">
      <c r="A7" s="97" t="s">
        <v>2982</v>
      </c>
      <c r="H7" s="985"/>
      <c r="I7" s="1713"/>
      <c r="J7" s="1713"/>
      <c r="K7" s="985"/>
      <c r="L7" s="985"/>
      <c r="M7" s="674"/>
      <c r="N7" s="674"/>
    </row>
    <row r="8" spans="1:19" ht="23.25" customHeight="1">
      <c r="A8" s="4224" t="s">
        <v>1327</v>
      </c>
      <c r="B8" s="4225"/>
      <c r="C8" s="4225"/>
      <c r="D8" s="4225"/>
      <c r="E8" s="4225"/>
      <c r="F8" s="4225"/>
      <c r="G8" s="4225"/>
      <c r="H8" s="4225"/>
      <c r="I8" s="4225"/>
      <c r="J8" s="4225"/>
      <c r="K8" s="4225"/>
      <c r="L8" s="4225"/>
      <c r="M8" s="4225"/>
      <c r="N8" s="4225"/>
      <c r="O8" s="4225"/>
      <c r="P8" s="4225"/>
      <c r="Q8" s="4226"/>
      <c r="R8" s="2913" t="s">
        <v>1878</v>
      </c>
      <c r="S8" s="2909"/>
    </row>
    <row r="9" spans="1:19" ht="23.25" customHeight="1">
      <c r="A9" s="4206" t="s">
        <v>218</v>
      </c>
      <c r="B9" s="4207"/>
      <c r="C9" s="4207"/>
      <c r="D9" s="4207"/>
      <c r="E9" s="4207"/>
      <c r="F9" s="4207"/>
      <c r="G9" s="4207"/>
      <c r="H9" s="4207"/>
      <c r="I9" s="4207"/>
      <c r="J9" s="4207"/>
      <c r="K9" s="4207"/>
      <c r="L9" s="4207"/>
      <c r="M9" s="4207"/>
      <c r="N9" s="4207"/>
      <c r="O9" s="4207"/>
      <c r="P9" s="4207"/>
      <c r="Q9" s="4208"/>
      <c r="R9" s="2913"/>
      <c r="S9" s="2909"/>
    </row>
    <row r="10" spans="1:19" ht="23.25" customHeight="1">
      <c r="A10" s="4206" t="s">
        <v>1323</v>
      </c>
      <c r="B10" s="4207"/>
      <c r="C10" s="4207"/>
      <c r="D10" s="4207"/>
      <c r="E10" s="4207"/>
      <c r="F10" s="4207"/>
      <c r="G10" s="4207"/>
      <c r="H10" s="4207"/>
      <c r="I10" s="4207"/>
      <c r="J10" s="4207"/>
      <c r="K10" s="4207"/>
      <c r="L10" s="4207"/>
      <c r="M10" s="4207"/>
      <c r="N10" s="4207"/>
      <c r="O10" s="4207"/>
      <c r="P10" s="4207"/>
      <c r="Q10" s="4208"/>
      <c r="R10" s="2913"/>
      <c r="S10" s="2909"/>
    </row>
    <row r="11" spans="1:19" ht="23.25" customHeight="1">
      <c r="A11" s="4206" t="s">
        <v>1324</v>
      </c>
      <c r="B11" s="4207"/>
      <c r="C11" s="4207"/>
      <c r="D11" s="4207"/>
      <c r="E11" s="4207"/>
      <c r="F11" s="4207"/>
      <c r="G11" s="4207"/>
      <c r="H11" s="4207"/>
      <c r="I11" s="4207"/>
      <c r="J11" s="4207"/>
      <c r="K11" s="4207"/>
      <c r="L11" s="4207"/>
      <c r="M11" s="4207"/>
      <c r="N11" s="4207"/>
      <c r="O11" s="4207"/>
      <c r="P11" s="4207"/>
      <c r="Q11" s="4208"/>
      <c r="R11" s="2913"/>
      <c r="S11" s="2909"/>
    </row>
    <row r="12" spans="1:19" ht="23.25" customHeight="1">
      <c r="A12" s="4206" t="s">
        <v>1325</v>
      </c>
      <c r="B12" s="4207"/>
      <c r="C12" s="4207"/>
      <c r="D12" s="4207"/>
      <c r="E12" s="4207"/>
      <c r="F12" s="4207"/>
      <c r="G12" s="4207"/>
      <c r="H12" s="4207"/>
      <c r="I12" s="4207"/>
      <c r="J12" s="4207"/>
      <c r="K12" s="4207"/>
      <c r="L12" s="4207"/>
      <c r="M12" s="4207"/>
      <c r="N12" s="4207"/>
      <c r="O12" s="4207"/>
      <c r="P12" s="4207"/>
      <c r="Q12" s="4208"/>
      <c r="R12" s="873"/>
      <c r="S12" s="873"/>
    </row>
    <row r="13" spans="1:19" ht="23.25" customHeight="1">
      <c r="A13" s="4206" t="s">
        <v>1326</v>
      </c>
      <c r="B13" s="4207"/>
      <c r="C13" s="4207"/>
      <c r="D13" s="4207"/>
      <c r="E13" s="4207"/>
      <c r="F13" s="4207"/>
      <c r="G13" s="4207"/>
      <c r="H13" s="4207"/>
      <c r="I13" s="4207"/>
      <c r="J13" s="4207"/>
      <c r="K13" s="4207"/>
      <c r="L13" s="4207"/>
      <c r="M13" s="4207"/>
      <c r="N13" s="4207"/>
      <c r="O13" s="4207"/>
      <c r="P13" s="4207"/>
      <c r="Q13" s="4208"/>
      <c r="R13" s="873"/>
      <c r="S13" s="873"/>
    </row>
    <row r="14" spans="1:19" ht="23.25" customHeight="1">
      <c r="A14" s="4206" t="s">
        <v>1328</v>
      </c>
      <c r="B14" s="4207"/>
      <c r="C14" s="4207"/>
      <c r="D14" s="4207"/>
      <c r="E14" s="4207"/>
      <c r="F14" s="4207"/>
      <c r="G14" s="4207"/>
      <c r="H14" s="4207"/>
      <c r="I14" s="4207"/>
      <c r="J14" s="4207"/>
      <c r="K14" s="4207"/>
      <c r="L14" s="4207"/>
      <c r="M14" s="4207"/>
      <c r="N14" s="4207"/>
      <c r="O14" s="4207"/>
      <c r="P14" s="4207"/>
      <c r="Q14" s="4208"/>
    </row>
    <row r="15" spans="1:19" ht="11.25" customHeight="1">
      <c r="A15" s="4206" t="s">
        <v>1867</v>
      </c>
      <c r="B15" s="4207"/>
      <c r="C15" s="4207"/>
      <c r="D15" s="4207"/>
      <c r="E15" s="4207"/>
      <c r="F15" s="4207"/>
      <c r="G15" s="4207"/>
      <c r="H15" s="4207"/>
      <c r="I15" s="4207"/>
      <c r="J15" s="4207"/>
      <c r="K15" s="4207"/>
      <c r="L15" s="4207"/>
      <c r="M15" s="4207"/>
      <c r="N15" s="4207"/>
      <c r="O15" s="4207"/>
      <c r="P15" s="4207"/>
      <c r="Q15" s="4208"/>
      <c r="R15" s="2913"/>
      <c r="S15" s="2909"/>
    </row>
    <row r="16" spans="1:19" ht="11.25" customHeight="1">
      <c r="A16" s="4206" t="s">
        <v>1868</v>
      </c>
      <c r="B16" s="4207"/>
      <c r="C16" s="4207"/>
      <c r="D16" s="4207"/>
      <c r="E16" s="4207"/>
      <c r="F16" s="4207"/>
      <c r="G16" s="4207"/>
      <c r="H16" s="4207"/>
      <c r="I16" s="4207"/>
      <c r="J16" s="4207"/>
      <c r="K16" s="4207"/>
      <c r="L16" s="4207"/>
      <c r="M16" s="4207"/>
      <c r="N16" s="4207"/>
      <c r="O16" s="4207"/>
      <c r="P16" s="4207"/>
      <c r="Q16" s="4208"/>
      <c r="R16" s="2913"/>
      <c r="S16" s="2909"/>
    </row>
    <row r="17" spans="1:31" ht="11.25" customHeight="1">
      <c r="A17" s="4206" t="s">
        <v>1869</v>
      </c>
      <c r="B17" s="4207"/>
      <c r="C17" s="4207"/>
      <c r="D17" s="4207"/>
      <c r="E17" s="4207"/>
      <c r="F17" s="4207"/>
      <c r="G17" s="4207"/>
      <c r="H17" s="4207"/>
      <c r="I17" s="4207"/>
      <c r="J17" s="4207"/>
      <c r="K17" s="4207"/>
      <c r="L17" s="4207"/>
      <c r="M17" s="4207"/>
      <c r="N17" s="4207"/>
      <c r="O17" s="4207"/>
      <c r="P17" s="4207"/>
      <c r="Q17" s="4208"/>
      <c r="R17" s="2913"/>
      <c r="S17" s="2909"/>
    </row>
    <row r="18" spans="1:31" ht="11.25" customHeight="1">
      <c r="A18" s="4206" t="s">
        <v>1870</v>
      </c>
      <c r="B18" s="4207"/>
      <c r="C18" s="4207"/>
      <c r="D18" s="4207"/>
      <c r="E18" s="4207"/>
      <c r="F18" s="4207"/>
      <c r="G18" s="4207"/>
      <c r="H18" s="4207"/>
      <c r="I18" s="4207"/>
      <c r="J18" s="4207"/>
      <c r="K18" s="4207"/>
      <c r="L18" s="4207"/>
      <c r="M18" s="4207"/>
      <c r="N18" s="4207"/>
      <c r="O18" s="4207"/>
      <c r="P18" s="4207"/>
      <c r="Q18" s="4208"/>
      <c r="R18" s="2913"/>
      <c r="S18" s="2909"/>
    </row>
    <row r="19" spans="1:31" ht="11.25" customHeight="1">
      <c r="A19" s="4206" t="s">
        <v>1871</v>
      </c>
      <c r="B19" s="4207"/>
      <c r="C19" s="4207"/>
      <c r="D19" s="4207"/>
      <c r="E19" s="4207"/>
      <c r="F19" s="4207"/>
      <c r="G19" s="4207"/>
      <c r="H19" s="4207"/>
      <c r="I19" s="4207"/>
      <c r="J19" s="4207"/>
      <c r="K19" s="4207"/>
      <c r="L19" s="4207"/>
      <c r="M19" s="4207"/>
      <c r="N19" s="4207"/>
      <c r="O19" s="4207"/>
      <c r="P19" s="4207"/>
      <c r="Q19" s="4208"/>
      <c r="R19" s="2913"/>
      <c r="S19" s="2909"/>
    </row>
    <row r="20" spans="1:31" ht="11.25" customHeight="1">
      <c r="A20" s="4206" t="s">
        <v>1872</v>
      </c>
      <c r="B20" s="4207"/>
      <c r="C20" s="4207"/>
      <c r="D20" s="4207"/>
      <c r="E20" s="4207"/>
      <c r="F20" s="4207"/>
      <c r="G20" s="4207"/>
      <c r="H20" s="4207"/>
      <c r="I20" s="4207"/>
      <c r="J20" s="4207"/>
      <c r="K20" s="4207"/>
      <c r="L20" s="4207"/>
      <c r="M20" s="4207"/>
      <c r="N20" s="4207"/>
      <c r="O20" s="4207"/>
      <c r="P20" s="4207"/>
      <c r="Q20" s="4208"/>
      <c r="R20" s="2913"/>
      <c r="S20" s="2909"/>
    </row>
    <row r="21" spans="1:31" ht="11.25" customHeight="1">
      <c r="A21" s="4206" t="s">
        <v>1873</v>
      </c>
      <c r="B21" s="4207"/>
      <c r="C21" s="4207"/>
      <c r="D21" s="4207"/>
      <c r="E21" s="4207"/>
      <c r="F21" s="4207"/>
      <c r="G21" s="4207"/>
      <c r="H21" s="4207"/>
      <c r="I21" s="4207"/>
      <c r="J21" s="4207"/>
      <c r="K21" s="4207"/>
      <c r="L21" s="4207"/>
      <c r="M21" s="4207"/>
      <c r="N21" s="4207"/>
      <c r="O21" s="4207"/>
      <c r="P21" s="4207"/>
      <c r="Q21" s="4208"/>
    </row>
    <row r="22" spans="1:31" ht="11.25" customHeight="1">
      <c r="A22" s="4206" t="s">
        <v>1874</v>
      </c>
      <c r="B22" s="4207"/>
      <c r="C22" s="4207"/>
      <c r="D22" s="4207"/>
      <c r="E22" s="4207"/>
      <c r="F22" s="4207"/>
      <c r="G22" s="4207"/>
      <c r="H22" s="4207"/>
      <c r="I22" s="4207"/>
      <c r="J22" s="4207"/>
      <c r="K22" s="4207"/>
      <c r="L22" s="4207"/>
      <c r="M22" s="4207"/>
      <c r="N22" s="4207"/>
      <c r="O22" s="4207"/>
      <c r="P22" s="4207"/>
      <c r="Q22" s="4208"/>
      <c r="R22" s="2913"/>
      <c r="S22" s="2909"/>
    </row>
    <row r="23" spans="1:31" ht="11.25" customHeight="1">
      <c r="A23" s="4206" t="s">
        <v>1875</v>
      </c>
      <c r="B23" s="4207"/>
      <c r="C23" s="4207"/>
      <c r="D23" s="4207"/>
      <c r="E23" s="4207"/>
      <c r="F23" s="4207"/>
      <c r="G23" s="4207"/>
      <c r="H23" s="4207"/>
      <c r="I23" s="4207"/>
      <c r="J23" s="4207"/>
      <c r="K23" s="4207"/>
      <c r="L23" s="4207"/>
      <c r="M23" s="4207"/>
      <c r="N23" s="4207"/>
      <c r="O23" s="4207"/>
      <c r="P23" s="4207"/>
      <c r="Q23" s="4208"/>
      <c r="R23" s="2913"/>
      <c r="S23" s="2909"/>
    </row>
    <row r="24" spans="1:31" ht="11.25" customHeight="1">
      <c r="A24" s="4206" t="s">
        <v>1876</v>
      </c>
      <c r="B24" s="4207"/>
      <c r="C24" s="4207"/>
      <c r="D24" s="4207"/>
      <c r="E24" s="4207"/>
      <c r="F24" s="4207"/>
      <c r="G24" s="4207"/>
      <c r="H24" s="4207"/>
      <c r="I24" s="4207"/>
      <c r="J24" s="4207"/>
      <c r="K24" s="4207"/>
      <c r="L24" s="4207"/>
      <c r="M24" s="4207"/>
      <c r="N24" s="4207"/>
      <c r="O24" s="4207"/>
      <c r="P24" s="4207"/>
      <c r="Q24" s="4208"/>
      <c r="R24" s="2913"/>
      <c r="S24" s="2909"/>
    </row>
    <row r="25" spans="1:31" ht="11.25" customHeight="1">
      <c r="A25" s="4209" t="s">
        <v>1877</v>
      </c>
      <c r="B25" s="4210"/>
      <c r="C25" s="4210"/>
      <c r="D25" s="4210"/>
      <c r="E25" s="4210"/>
      <c r="F25" s="4210"/>
      <c r="G25" s="4210"/>
      <c r="H25" s="4210"/>
      <c r="I25" s="4210"/>
      <c r="J25" s="4210"/>
      <c r="K25" s="4210"/>
      <c r="L25" s="4210"/>
      <c r="M25" s="4210"/>
      <c r="N25" s="4210"/>
      <c r="O25" s="4210"/>
      <c r="P25" s="4210"/>
      <c r="Q25" s="4211"/>
      <c r="R25" s="2913"/>
      <c r="S25" s="2909"/>
    </row>
    <row r="26" spans="1:31" ht="6" customHeight="1"/>
    <row r="27" spans="1:31" ht="14.1" customHeight="1">
      <c r="A27" s="98" t="s">
        <v>688</v>
      </c>
      <c r="B27" s="99" t="s">
        <v>4526</v>
      </c>
      <c r="C27" s="100"/>
      <c r="D27" s="66"/>
      <c r="E27" s="66"/>
      <c r="F27" s="66"/>
      <c r="G27" s="66"/>
      <c r="I27" s="878"/>
      <c r="J27" s="878"/>
      <c r="K27" s="878"/>
      <c r="L27" s="674"/>
      <c r="M27" s="674"/>
      <c r="O27" s="101" t="s">
        <v>1726</v>
      </c>
      <c r="P27" s="4109"/>
      <c r="Q27" s="4110"/>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17"/>
      <c r="B30" s="4118"/>
      <c r="C30" s="4118"/>
      <c r="D30" s="4118"/>
      <c r="E30" s="4118"/>
      <c r="F30" s="4118"/>
      <c r="G30" s="4118"/>
      <c r="H30" s="4118"/>
      <c r="I30" s="4118"/>
      <c r="J30" s="4118"/>
      <c r="K30" s="4118"/>
      <c r="L30" s="4118"/>
      <c r="M30" s="4118"/>
      <c r="N30" s="4118"/>
      <c r="O30" s="4118"/>
      <c r="P30" s="4118"/>
      <c r="Q30" s="411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9"/>
      <c r="B32" s="4219"/>
      <c r="C32" s="4219"/>
      <c r="D32" s="4219"/>
      <c r="E32" s="4219"/>
      <c r="F32" s="4219"/>
      <c r="G32" s="4219"/>
      <c r="H32" s="4219"/>
      <c r="I32" s="4219"/>
      <c r="J32" s="4219"/>
      <c r="K32" s="4219"/>
      <c r="L32" s="4219"/>
      <c r="M32" s="4219"/>
      <c r="N32" s="4219"/>
      <c r="O32" s="4219"/>
      <c r="P32" s="4219"/>
      <c r="Q32" s="421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9"/>
      <c r="Q34" s="4110"/>
    </row>
    <row r="35" spans="1:31" ht="12.75" customHeight="1">
      <c r="A35" s="2"/>
      <c r="B35" s="108" t="s">
        <v>4534</v>
      </c>
      <c r="C35" s="4"/>
      <c r="D35" s="4"/>
      <c r="E35" s="874"/>
      <c r="F35" s="874"/>
      <c r="H35" s="874"/>
      <c r="J35" s="2967" t="s">
        <v>4360</v>
      </c>
      <c r="K35" s="2968"/>
      <c r="L35" s="2969"/>
      <c r="M35" s="147" t="s">
        <v>1642</v>
      </c>
      <c r="N35" s="4100"/>
      <c r="O35" s="4101"/>
      <c r="P35" s="4101"/>
      <c r="Q35" s="4102"/>
    </row>
    <row r="36" spans="1:31" ht="12.75" customHeight="1">
      <c r="A36" s="2"/>
      <c r="B36" s="108" t="s">
        <v>4533</v>
      </c>
      <c r="C36" s="4"/>
      <c r="D36" s="4"/>
      <c r="E36" s="874"/>
      <c r="F36" s="874"/>
      <c r="G36" s="1576"/>
      <c r="H36" s="874"/>
      <c r="J36" s="2967" t="s">
        <v>4361</v>
      </c>
      <c r="K36" s="2968"/>
      <c r="L36" s="2969"/>
      <c r="M36" s="147" t="s">
        <v>1642</v>
      </c>
      <c r="N36" s="4100"/>
      <c r="O36" s="4101"/>
      <c r="P36" s="4101"/>
      <c r="Q36" s="4102"/>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17"/>
      <c r="B38" s="4118"/>
      <c r="C38" s="4118"/>
      <c r="D38" s="4118"/>
      <c r="E38" s="4118"/>
      <c r="F38" s="4118"/>
      <c r="G38" s="4118"/>
      <c r="H38" s="4118"/>
      <c r="I38" s="4118"/>
      <c r="J38" s="4119"/>
      <c r="K38" s="4114"/>
      <c r="L38" s="4115"/>
      <c r="M38" s="4115"/>
      <c r="N38" s="4115"/>
      <c r="O38" s="4115"/>
      <c r="P38" s="4115"/>
      <c r="Q38" s="411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3663</v>
      </c>
      <c r="M40" s="1256" t="s">
        <v>3664</v>
      </c>
      <c r="O40" s="101" t="s">
        <v>1726</v>
      </c>
      <c r="P40" s="4109"/>
      <c r="Q40" s="4110"/>
    </row>
    <row r="41" spans="1:31" ht="1.5" customHeight="1"/>
    <row r="42" spans="1:31" ht="12" customHeight="1">
      <c r="A42" s="110" t="s">
        <v>1836</v>
      </c>
      <c r="B42" s="4103" t="s">
        <v>3658</v>
      </c>
      <c r="C42" s="4103"/>
      <c r="D42" s="4103"/>
      <c r="E42" s="4103"/>
      <c r="F42" s="4103"/>
      <c r="G42" s="4103"/>
      <c r="H42" s="4103"/>
      <c r="I42" s="4103"/>
      <c r="J42" s="4103"/>
      <c r="K42" s="115"/>
      <c r="L42" s="346" t="s">
        <v>2573</v>
      </c>
      <c r="M42" s="1144">
        <v>2</v>
      </c>
      <c r="N42" s="108" t="s">
        <v>3890</v>
      </c>
      <c r="P42" s="4255"/>
      <c r="Q42" s="4265"/>
    </row>
    <row r="43" spans="1:31" ht="12" customHeight="1">
      <c r="A43" s="110"/>
      <c r="B43" s="4103"/>
      <c r="C43" s="4103"/>
      <c r="D43" s="4103"/>
      <c r="E43" s="4103"/>
      <c r="F43" s="4103"/>
      <c r="G43" s="4103"/>
      <c r="H43" s="4103"/>
      <c r="I43" s="4103"/>
      <c r="J43" s="4103"/>
      <c r="K43" s="115"/>
      <c r="L43" s="346" t="s">
        <v>3662</v>
      </c>
      <c r="M43" s="1145">
        <v>4</v>
      </c>
      <c r="O43" s="111"/>
      <c r="P43" s="4256"/>
      <c r="Q43" s="4266"/>
    </row>
    <row r="44" spans="1:31" ht="12" customHeight="1">
      <c r="A44" s="110"/>
      <c r="D44" s="874"/>
      <c r="E44" s="874"/>
      <c r="F44" s="874"/>
      <c r="G44" s="874"/>
      <c r="H44" s="874"/>
      <c r="I44" s="874"/>
      <c r="J44" s="874"/>
      <c r="K44" s="115"/>
      <c r="L44" s="371" t="s">
        <v>4056</v>
      </c>
      <c r="M44" s="1145"/>
      <c r="O44" s="111"/>
      <c r="P44" s="1468"/>
      <c r="Q44" s="1469"/>
    </row>
    <row r="45" spans="1:31" ht="12" customHeight="1">
      <c r="A45" s="40" t="s">
        <v>1838</v>
      </c>
      <c r="B45" s="108" t="s">
        <v>3665</v>
      </c>
      <c r="C45" s="108"/>
      <c r="D45" s="108"/>
      <c r="E45" s="108"/>
      <c r="F45" s="108"/>
      <c r="G45" s="108"/>
      <c r="H45" s="108"/>
      <c r="I45" s="108"/>
      <c r="J45" s="108"/>
      <c r="K45" s="456"/>
      <c r="L45" s="108"/>
      <c r="M45" s="115"/>
      <c r="N45" s="704"/>
      <c r="O45" s="704"/>
      <c r="P45" s="704"/>
    </row>
    <row r="46" spans="1:31" ht="12.75" customHeight="1">
      <c r="A46" s="395"/>
      <c r="B46" s="1161" t="s">
        <v>1611</v>
      </c>
      <c r="C46" s="108" t="s">
        <v>3669</v>
      </c>
      <c r="D46" s="1116"/>
      <c r="E46" s="1116"/>
      <c r="F46" s="1116"/>
      <c r="G46" s="1116"/>
      <c r="H46" s="1116"/>
      <c r="I46" s="1116"/>
      <c r="J46" s="1116"/>
      <c r="K46" s="1115"/>
      <c r="L46" s="703"/>
      <c r="N46" s="108" t="s">
        <v>3891</v>
      </c>
      <c r="O46" s="704"/>
      <c r="P46" s="175"/>
      <c r="Q46" s="418"/>
    </row>
    <row r="47" spans="1:31" ht="12.75" customHeight="1">
      <c r="A47" s="395"/>
      <c r="B47" s="1161" t="s">
        <v>1612</v>
      </c>
      <c r="C47" s="108" t="s">
        <v>3666</v>
      </c>
      <c r="D47" s="1116"/>
      <c r="E47" s="1116"/>
      <c r="F47" s="1116"/>
      <c r="G47" s="1116"/>
      <c r="H47" s="1116"/>
      <c r="I47" s="1116"/>
      <c r="J47" s="1116"/>
      <c r="K47" s="1115"/>
      <c r="L47" s="703"/>
      <c r="N47" s="108" t="s">
        <v>3892</v>
      </c>
      <c r="O47" s="704"/>
      <c r="P47" s="299"/>
      <c r="Q47" s="419"/>
    </row>
    <row r="48" spans="1:31" ht="12.75" customHeight="1">
      <c r="A48" s="1114"/>
      <c r="B48" s="371" t="s">
        <v>1613</v>
      </c>
      <c r="C48" s="108" t="s">
        <v>3667</v>
      </c>
      <c r="E48" s="1116"/>
      <c r="F48" s="1116"/>
      <c r="G48" s="1116"/>
      <c r="H48" s="1116"/>
      <c r="I48" s="1116"/>
      <c r="J48" s="1116"/>
      <c r="K48" s="1115"/>
      <c r="L48" s="703"/>
      <c r="M48" s="704"/>
      <c r="N48" s="108" t="s">
        <v>3893</v>
      </c>
      <c r="O48" s="704"/>
      <c r="P48" s="299"/>
      <c r="Q48" s="419"/>
    </row>
    <row r="49" spans="1:31" ht="12.75" customHeight="1">
      <c r="A49" s="112"/>
      <c r="B49" s="371" t="s">
        <v>2176</v>
      </c>
      <c r="C49" s="371" t="s">
        <v>3670</v>
      </c>
      <c r="D49" s="103"/>
      <c r="E49" s="103"/>
      <c r="F49" s="103"/>
      <c r="G49" s="103"/>
      <c r="H49" s="103"/>
      <c r="I49" s="35"/>
      <c r="J49" s="35"/>
      <c r="N49" s="108" t="s">
        <v>3894</v>
      </c>
      <c r="O49" s="704"/>
      <c r="P49" s="176"/>
      <c r="Q49" s="420"/>
    </row>
    <row r="50" spans="1:31" ht="12.75" customHeight="1">
      <c r="A50" s="112"/>
      <c r="B50" s="371"/>
      <c r="C50" s="108" t="s">
        <v>3671</v>
      </c>
      <c r="D50" s="103"/>
      <c r="E50" s="103"/>
      <c r="F50" s="103"/>
      <c r="G50" s="103"/>
      <c r="H50" s="103"/>
      <c r="I50" s="35"/>
      <c r="J50" s="35"/>
      <c r="L50" s="4126"/>
      <c r="M50" s="4127"/>
      <c r="N50" s="4127"/>
      <c r="O50" s="4127"/>
      <c r="P50" s="4127"/>
      <c r="Q50" s="4205"/>
    </row>
    <row r="51" spans="1:31" ht="12.75" customHeight="1">
      <c r="A51" s="112"/>
      <c r="B51" s="371" t="s">
        <v>1446</v>
      </c>
      <c r="C51" s="4103" t="s">
        <v>3668</v>
      </c>
      <c r="D51" s="4103"/>
      <c r="E51" s="4103"/>
      <c r="F51" s="4103"/>
      <c r="G51" s="4103"/>
      <c r="H51" s="4103"/>
      <c r="I51" s="4103"/>
      <c r="J51" s="4103"/>
      <c r="K51" s="4103"/>
      <c r="L51" s="4103"/>
      <c r="M51" s="412"/>
      <c r="N51" s="108" t="s">
        <v>3895</v>
      </c>
      <c r="O51" s="704"/>
      <c r="P51" s="372"/>
      <c r="Q51" s="417"/>
    </row>
    <row r="52" spans="1:31" ht="12.75" customHeight="1">
      <c r="A52" s="40"/>
      <c r="C52" s="4103"/>
      <c r="D52" s="4103"/>
      <c r="E52" s="4103"/>
      <c r="F52" s="4103"/>
      <c r="G52" s="4103"/>
      <c r="H52" s="4103"/>
      <c r="I52" s="4103"/>
      <c r="J52" s="4103"/>
      <c r="K52" s="4103"/>
      <c r="L52" s="4103"/>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17"/>
      <c r="B54" s="4118"/>
      <c r="C54" s="4118"/>
      <c r="D54" s="4118"/>
      <c r="E54" s="4118"/>
      <c r="F54" s="4118"/>
      <c r="G54" s="4118"/>
      <c r="H54" s="4118"/>
      <c r="I54" s="4118"/>
      <c r="J54" s="4119"/>
      <c r="K54" s="4114"/>
      <c r="L54" s="4115"/>
      <c r="M54" s="4115"/>
      <c r="N54" s="4115"/>
      <c r="O54" s="4115"/>
      <c r="P54" s="4115"/>
      <c r="Q54" s="411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3888</v>
      </c>
      <c r="C56" s="2"/>
      <c r="D56" s="874"/>
      <c r="E56" s="874"/>
      <c r="F56" s="874"/>
      <c r="G56" s="874"/>
      <c r="H56" s="1263" t="e">
        <f>#REF!</f>
        <v>#REF!</v>
      </c>
      <c r="J56" s="1720" t="s">
        <v>4527</v>
      </c>
      <c r="K56" s="429" t="str">
        <f>'Part VIII Scoring Criteria OLD'!$M$60</f>
        <v>&lt;&lt; Select Pool &gt;&gt;</v>
      </c>
      <c r="L56" s="1720" t="s">
        <v>3695</v>
      </c>
      <c r="M56" s="854" t="str">
        <f>J35</f>
        <v>&lt;&lt; Select PROPOSED Tenancy &gt;&gt;</v>
      </c>
      <c r="O56" s="101" t="s">
        <v>1726</v>
      </c>
      <c r="P56" s="4109"/>
      <c r="Q56" s="4110"/>
    </row>
    <row r="57" spans="1:31" ht="3" customHeight="1"/>
    <row r="58" spans="1:31" ht="12.75" customHeight="1">
      <c r="A58" s="40" t="s">
        <v>1836</v>
      </c>
      <c r="B58" s="32" t="s">
        <v>2258</v>
      </c>
      <c r="D58" s="103"/>
      <c r="E58" s="103"/>
      <c r="F58" s="103"/>
      <c r="G58" s="103"/>
      <c r="H58" s="103"/>
      <c r="I58" s="35"/>
      <c r="J58" s="35"/>
      <c r="K58" s="35"/>
      <c r="L58" s="48" t="s">
        <v>1836</v>
      </c>
      <c r="M58" s="4130"/>
      <c r="N58" s="4131"/>
      <c r="O58" s="4131"/>
      <c r="P58" s="4218"/>
      <c r="Q58" s="418"/>
    </row>
    <row r="59" spans="1:31" ht="12.75" customHeight="1">
      <c r="A59" s="40" t="s">
        <v>1838</v>
      </c>
      <c r="B59" s="29" t="s">
        <v>3819</v>
      </c>
      <c r="D59" s="103"/>
      <c r="E59" s="103"/>
      <c r="F59" s="103"/>
      <c r="L59" s="48" t="s">
        <v>1838</v>
      </c>
      <c r="M59" s="4253"/>
      <c r="N59" s="4254"/>
      <c r="O59" s="4254"/>
      <c r="P59" s="3209"/>
      <c r="Q59" s="419"/>
    </row>
    <row r="60" spans="1:31" ht="12.75" customHeight="1">
      <c r="A60" s="40" t="s">
        <v>697</v>
      </c>
      <c r="B60" s="29" t="s">
        <v>2550</v>
      </c>
      <c r="D60" s="103"/>
      <c r="E60" s="103"/>
      <c r="F60" s="103"/>
      <c r="L60" s="48" t="s">
        <v>697</v>
      </c>
      <c r="M60" s="4249"/>
      <c r="N60" s="4250"/>
      <c r="O60" s="4250"/>
      <c r="P60" s="4251"/>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3820</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146"/>
      <c r="F65" s="4146"/>
      <c r="G65" s="4146"/>
      <c r="H65" s="48" t="s">
        <v>1446</v>
      </c>
      <c r="I65" s="1682"/>
      <c r="J65" s="4146"/>
      <c r="K65" s="4146"/>
      <c r="L65" s="4146"/>
      <c r="M65" s="48" t="s">
        <v>480</v>
      </c>
      <c r="N65" s="1682"/>
      <c r="O65" s="4146"/>
      <c r="P65" s="4146"/>
      <c r="Q65" s="4146"/>
    </row>
    <row r="66" spans="1:31" ht="12.75" customHeight="1">
      <c r="C66" s="49" t="s">
        <v>1613</v>
      </c>
      <c r="D66" s="384"/>
      <c r="E66" s="4147"/>
      <c r="F66" s="4147"/>
      <c r="G66" s="4147"/>
      <c r="H66" s="48" t="s">
        <v>1447</v>
      </c>
      <c r="I66" s="384"/>
      <c r="J66" s="4147"/>
      <c r="K66" s="4147"/>
      <c r="L66" s="4147"/>
      <c r="M66" s="48" t="s">
        <v>481</v>
      </c>
      <c r="N66" s="384"/>
      <c r="O66" s="4147"/>
      <c r="P66" s="4147"/>
      <c r="Q66" s="4147"/>
    </row>
    <row r="67" spans="1:31" ht="12.75" customHeight="1">
      <c r="A67" s="40" t="s">
        <v>1610</v>
      </c>
      <c r="B67" s="29" t="s">
        <v>4004</v>
      </c>
      <c r="D67" s="103"/>
      <c r="E67" s="103"/>
      <c r="F67" s="103"/>
      <c r="G67" s="103"/>
      <c r="H67" s="103"/>
      <c r="I67" s="35"/>
      <c r="J67" s="35"/>
      <c r="K67" s="103"/>
      <c r="L67" s="876"/>
      <c r="M67" s="876"/>
      <c r="O67" s="48" t="s">
        <v>1610</v>
      </c>
      <c r="P67" s="1224"/>
      <c r="Q67" s="1225"/>
    </row>
    <row r="68" spans="1:31" ht="12.75" customHeight="1">
      <c r="A68" s="40" t="s">
        <v>1803</v>
      </c>
      <c r="B68" s="29" t="s">
        <v>4005</v>
      </c>
      <c r="D68" s="103"/>
      <c r="E68" s="103"/>
      <c r="F68" s="103"/>
      <c r="G68" s="103"/>
      <c r="H68" s="103"/>
      <c r="I68" s="35"/>
      <c r="J68" s="35"/>
      <c r="K68" s="103"/>
      <c r="L68" s="876"/>
      <c r="M68" s="876"/>
      <c r="O68" s="48" t="s">
        <v>1803</v>
      </c>
      <c r="P68" s="299"/>
      <c r="Q68" s="419"/>
    </row>
    <row r="69" spans="1:31" ht="10.5" customHeight="1">
      <c r="A69" s="40" t="s">
        <v>2932</v>
      </c>
      <c r="B69" s="29" t="s">
        <v>4006</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17"/>
      <c r="B71" s="4118"/>
      <c r="C71" s="4118"/>
      <c r="D71" s="4118"/>
      <c r="E71" s="4118"/>
      <c r="F71" s="4118"/>
      <c r="G71" s="4118"/>
      <c r="H71" s="4118"/>
      <c r="I71" s="4118"/>
      <c r="J71" s="4118"/>
      <c r="K71" s="4118"/>
      <c r="L71" s="4118"/>
      <c r="M71" s="4118"/>
      <c r="N71" s="4118"/>
      <c r="O71" s="4118"/>
      <c r="P71" s="4118"/>
      <c r="Q71" s="411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4"/>
      <c r="B73" s="4115"/>
      <c r="C73" s="4115"/>
      <c r="D73" s="4115"/>
      <c r="E73" s="4115"/>
      <c r="F73" s="4115"/>
      <c r="G73" s="4115"/>
      <c r="H73" s="4115"/>
      <c r="I73" s="4115"/>
      <c r="J73" s="4115"/>
      <c r="K73" s="4115"/>
      <c r="L73" s="4115"/>
      <c r="M73" s="4115"/>
      <c r="N73" s="4115"/>
      <c r="O73" s="4115"/>
      <c r="P73" s="4115"/>
      <c r="Q73" s="4116"/>
    </row>
    <row r="74" spans="1:31" ht="14.1" customHeight="1">
      <c r="A74" s="2" t="s">
        <v>495</v>
      </c>
      <c r="B74" s="2" t="s">
        <v>2416</v>
      </c>
      <c r="C74" s="2"/>
      <c r="D74" s="874"/>
      <c r="E74" s="874"/>
      <c r="F74" s="874"/>
      <c r="G74" s="874"/>
      <c r="H74" s="874"/>
      <c r="I74" s="874"/>
      <c r="J74" s="874"/>
      <c r="K74" s="874"/>
      <c r="L74" s="874"/>
      <c r="M74" s="874"/>
      <c r="O74" s="101" t="s">
        <v>1726</v>
      </c>
      <c r="P74" s="4109"/>
      <c r="Q74" s="4110"/>
    </row>
    <row r="75" spans="1:31" ht="3" customHeight="1"/>
    <row r="76" spans="1:31" ht="12.75" customHeight="1">
      <c r="A76" s="40" t="s">
        <v>1836</v>
      </c>
      <c r="B76" s="29" t="s">
        <v>3896</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6"/>
      <c r="N77" s="4127"/>
      <c r="O77" s="4127"/>
      <c r="P77" s="4128"/>
      <c r="Q77" s="419"/>
    </row>
    <row r="78" spans="1:31" s="35" customFormat="1" ht="12.75" customHeight="1">
      <c r="B78" s="113" t="s">
        <v>1612</v>
      </c>
      <c r="C78" s="29" t="s">
        <v>3710</v>
      </c>
      <c r="O78" s="49" t="s">
        <v>1612</v>
      </c>
      <c r="P78" s="1224"/>
      <c r="Q78" s="1225"/>
    </row>
    <row r="79" spans="1:31" s="35" customFormat="1" ht="12.75" customHeight="1">
      <c r="B79" s="1161" t="s">
        <v>1613</v>
      </c>
      <c r="C79" s="29" t="s">
        <v>3922</v>
      </c>
      <c r="O79" s="117" t="s">
        <v>1613</v>
      </c>
      <c r="P79" s="1339"/>
      <c r="Q79" s="1340"/>
    </row>
    <row r="80" spans="1:31" ht="12.75" customHeight="1">
      <c r="A80" s="878"/>
      <c r="B80" s="371" t="s">
        <v>2176</v>
      </c>
      <c r="C80" s="33" t="s">
        <v>3672</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3" t="s">
        <v>3822</v>
      </c>
      <c r="D84" s="4103"/>
      <c r="E84" s="4103"/>
      <c r="F84" s="4103"/>
      <c r="G84" s="4103"/>
      <c r="H84" s="4103"/>
      <c r="I84" s="4103"/>
      <c r="J84" s="4103"/>
      <c r="K84" s="4103"/>
      <c r="L84" s="4103"/>
      <c r="M84" s="4103"/>
      <c r="N84" s="4103"/>
      <c r="O84" s="128" t="s">
        <v>480</v>
      </c>
      <c r="P84" s="883"/>
      <c r="Q84" s="882"/>
    </row>
    <row r="85" spans="1:31" ht="12.75" customHeight="1">
      <c r="A85" s="40" t="s">
        <v>1838</v>
      </c>
      <c r="B85" s="29" t="s">
        <v>3821</v>
      </c>
      <c r="C85" s="29"/>
      <c r="E85" s="29"/>
      <c r="F85" s="29"/>
      <c r="G85" s="29"/>
      <c r="H85" s="29"/>
      <c r="I85" s="29"/>
      <c r="J85" s="29"/>
      <c r="K85" s="29"/>
      <c r="L85" s="29"/>
      <c r="M85" s="29"/>
      <c r="O85" s="48" t="s">
        <v>1838</v>
      </c>
      <c r="P85" s="1224"/>
      <c r="Q85" s="1225"/>
    </row>
    <row r="86" spans="1:31" ht="12.75" customHeight="1">
      <c r="B86" s="1161" t="s">
        <v>1611</v>
      </c>
      <c r="C86" s="29" t="s">
        <v>3940</v>
      </c>
      <c r="D86" s="29"/>
      <c r="E86" s="29"/>
      <c r="F86" s="29"/>
      <c r="G86" s="29"/>
      <c r="H86" s="29"/>
      <c r="I86" s="29"/>
      <c r="J86" s="29"/>
      <c r="K86" s="29"/>
      <c r="L86" s="29"/>
      <c r="M86" s="29"/>
      <c r="O86" s="117" t="s">
        <v>1611</v>
      </c>
      <c r="P86" s="1224"/>
      <c r="Q86" s="1225"/>
    </row>
    <row r="87" spans="1:31" ht="12.75" customHeight="1">
      <c r="A87" s="40"/>
      <c r="B87" s="113" t="s">
        <v>1612</v>
      </c>
      <c r="C87" s="29" t="s">
        <v>3939</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17"/>
      <c r="B89" s="4118"/>
      <c r="C89" s="4118"/>
      <c r="D89" s="4118"/>
      <c r="E89" s="4118"/>
      <c r="F89" s="4118"/>
      <c r="G89" s="4118"/>
      <c r="H89" s="4118"/>
      <c r="I89" s="4118"/>
      <c r="J89" s="4118"/>
      <c r="K89" s="4118"/>
      <c r="L89" s="4118"/>
      <c r="M89" s="4118"/>
      <c r="N89" s="4118"/>
      <c r="O89" s="4118"/>
      <c r="P89" s="4118"/>
      <c r="Q89" s="411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4"/>
      <c r="B91" s="4115"/>
      <c r="C91" s="4115"/>
      <c r="D91" s="4115"/>
      <c r="E91" s="4115"/>
      <c r="F91" s="4115"/>
      <c r="G91" s="4115"/>
      <c r="H91" s="4115"/>
      <c r="I91" s="4115"/>
      <c r="J91" s="4115"/>
      <c r="K91" s="4115"/>
      <c r="L91" s="4115"/>
      <c r="M91" s="4115"/>
      <c r="N91" s="4115"/>
      <c r="O91" s="4115"/>
      <c r="P91" s="4115"/>
      <c r="Q91" s="4116"/>
    </row>
    <row r="92" spans="1:31" ht="14.1" customHeight="1">
      <c r="A92" s="2" t="s">
        <v>719</v>
      </c>
      <c r="B92" s="2" t="s">
        <v>2417</v>
      </c>
      <c r="C92" s="33"/>
      <c r="D92" s="874"/>
      <c r="E92" s="874"/>
      <c r="F92" s="874"/>
      <c r="G92" s="874"/>
      <c r="H92" s="874"/>
      <c r="I92" s="874"/>
      <c r="J92" s="874"/>
      <c r="K92" s="874"/>
      <c r="L92" s="874"/>
      <c r="M92" s="874"/>
      <c r="N92" s="845" t="s">
        <v>4425</v>
      </c>
      <c r="O92" s="101" t="s">
        <v>1726</v>
      </c>
      <c r="P92" s="4109"/>
      <c r="Q92" s="4110"/>
      <c r="R92" s="847" t="s">
        <v>4412</v>
      </c>
    </row>
    <row r="93" spans="1:31" ht="6.6" customHeight="1"/>
    <row r="94" spans="1:31">
      <c r="A94" s="40" t="s">
        <v>1836</v>
      </c>
      <c r="B94" s="29" t="s">
        <v>4081</v>
      </c>
      <c r="D94" s="103"/>
      <c r="E94" s="103"/>
      <c r="F94" s="103"/>
      <c r="G94" s="103"/>
      <c r="H94" s="103"/>
      <c r="I94" s="35"/>
      <c r="J94" s="35"/>
      <c r="K94" s="48" t="s">
        <v>1836</v>
      </c>
      <c r="L94" s="4148"/>
      <c r="M94" s="4148"/>
      <c r="N94" s="4148"/>
      <c r="O94" s="4148"/>
      <c r="P94" s="4149"/>
      <c r="Q94" s="1700"/>
    </row>
    <row r="95" spans="1:31" ht="12" customHeight="1">
      <c r="B95" s="44" t="s">
        <v>4519</v>
      </c>
      <c r="O95" s="49" t="s">
        <v>1612</v>
      </c>
      <c r="P95" s="299"/>
      <c r="Q95" s="419"/>
    </row>
    <row r="96" spans="1:31" ht="12" customHeight="1">
      <c r="B96" s="44" t="s">
        <v>4413</v>
      </c>
      <c r="I96" s="44" t="s">
        <v>4415</v>
      </c>
      <c r="K96" s="1708"/>
      <c r="L96" s="1709"/>
      <c r="N96" s="44" t="s">
        <v>4414</v>
      </c>
      <c r="P96" s="1706"/>
      <c r="Q96" s="1707"/>
    </row>
    <row r="97" spans="1:17" ht="12" customHeight="1">
      <c r="A97" s="40" t="s">
        <v>1838</v>
      </c>
      <c r="B97" s="29" t="s">
        <v>4524</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7"/>
      <c r="M99" s="4267"/>
      <c r="N99" s="4267"/>
      <c r="O99" s="4267"/>
      <c r="P99" s="4268"/>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3659</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4512</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4513</v>
      </c>
      <c r="E104" s="103"/>
      <c r="F104" s="103"/>
      <c r="G104" s="103"/>
      <c r="H104" s="72"/>
      <c r="I104" s="72"/>
      <c r="J104" s="72"/>
      <c r="K104" s="103"/>
      <c r="L104" s="876"/>
      <c r="M104" s="876"/>
      <c r="O104" s="48" t="s">
        <v>1612</v>
      </c>
      <c r="P104" s="299"/>
      <c r="Q104" s="419"/>
    </row>
    <row r="105" spans="1:17" s="115" customFormat="1" ht="12" customHeight="1">
      <c r="A105" s="40"/>
      <c r="B105" s="33"/>
      <c r="C105" s="29" t="s">
        <v>4514</v>
      </c>
      <c r="E105" s="48" t="s">
        <v>2234</v>
      </c>
      <c r="F105" s="29" t="s">
        <v>4515</v>
      </c>
      <c r="G105" s="72"/>
      <c r="H105" s="29"/>
      <c r="I105" s="72"/>
      <c r="J105" s="72"/>
      <c r="K105" s="103"/>
      <c r="L105" s="876"/>
      <c r="M105" s="876"/>
      <c r="O105" s="48" t="s">
        <v>2234</v>
      </c>
      <c r="P105" s="1774"/>
      <c r="Q105" s="1775"/>
    </row>
    <row r="106" spans="1:17" s="115" customFormat="1" ht="12" customHeight="1">
      <c r="A106" s="40"/>
      <c r="B106" s="33"/>
      <c r="E106" s="48" t="s">
        <v>2235</v>
      </c>
      <c r="F106" s="29" t="s">
        <v>4516</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4514</v>
      </c>
      <c r="E108" s="48" t="s">
        <v>2234</v>
      </c>
      <c r="F108" s="29" t="s">
        <v>4517</v>
      </c>
      <c r="G108" s="72"/>
      <c r="H108" s="29"/>
      <c r="I108" s="72"/>
      <c r="J108" s="72"/>
      <c r="K108" s="103"/>
      <c r="L108" s="876"/>
      <c r="O108" s="48" t="s">
        <v>2234</v>
      </c>
      <c r="P108" s="1774"/>
      <c r="Q108" s="1775"/>
    </row>
    <row r="109" spans="1:17" s="115" customFormat="1" ht="12" customHeight="1">
      <c r="A109" s="40"/>
      <c r="B109" s="48"/>
      <c r="E109" s="48" t="s">
        <v>2235</v>
      </c>
      <c r="F109" s="29" t="s">
        <v>4518</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3732</v>
      </c>
      <c r="I111" s="29" t="s">
        <v>2493</v>
      </c>
      <c r="J111" s="1224"/>
      <c r="K111" s="1225"/>
      <c r="L111" s="48" t="s">
        <v>3736</v>
      </c>
      <c r="M111" s="108" t="s">
        <v>4086</v>
      </c>
      <c r="P111" s="1224"/>
      <c r="Q111" s="1225"/>
    </row>
    <row r="112" spans="1:17" ht="12.75" customHeight="1">
      <c r="B112" s="113" t="s">
        <v>1612</v>
      </c>
      <c r="C112" s="29" t="s">
        <v>4082</v>
      </c>
      <c r="E112" s="103"/>
      <c r="F112" s="299"/>
      <c r="G112" s="419"/>
      <c r="H112" s="48" t="s">
        <v>3733</v>
      </c>
      <c r="I112" s="29" t="s">
        <v>4007</v>
      </c>
      <c r="J112" s="299"/>
      <c r="K112" s="419"/>
      <c r="L112" s="48" t="s">
        <v>3737</v>
      </c>
      <c r="M112" s="44" t="s">
        <v>3196</v>
      </c>
      <c r="O112" s="876"/>
      <c r="P112" s="299"/>
      <c r="Q112" s="419"/>
    </row>
    <row r="113" spans="1:31" ht="12" customHeight="1">
      <c r="A113" s="29"/>
      <c r="B113" s="113" t="s">
        <v>1613</v>
      </c>
      <c r="C113" s="29" t="s">
        <v>4083</v>
      </c>
      <c r="E113" s="103"/>
      <c r="F113" s="299"/>
      <c r="G113" s="419"/>
      <c r="H113" s="48" t="s">
        <v>3734</v>
      </c>
      <c r="I113" s="29" t="s">
        <v>4008</v>
      </c>
      <c r="J113" s="299"/>
      <c r="K113" s="419"/>
      <c r="L113" s="48" t="s">
        <v>3738</v>
      </c>
      <c r="M113" s="29" t="s">
        <v>1448</v>
      </c>
      <c r="P113" s="299"/>
      <c r="Q113" s="419"/>
    </row>
    <row r="114" spans="1:31" ht="12" customHeight="1">
      <c r="A114" s="29"/>
      <c r="B114" s="113" t="s">
        <v>2176</v>
      </c>
      <c r="C114" s="44" t="s">
        <v>2408</v>
      </c>
      <c r="E114" s="103"/>
      <c r="F114" s="176"/>
      <c r="G114" s="420"/>
      <c r="H114" s="48" t="s">
        <v>3735</v>
      </c>
      <c r="I114" s="44" t="s">
        <v>4084</v>
      </c>
      <c r="J114" s="176"/>
      <c r="K114" s="420"/>
      <c r="L114" s="48" t="s">
        <v>4085</v>
      </c>
      <c r="M114" s="44" t="s">
        <v>4009</v>
      </c>
      <c r="P114" s="176"/>
      <c r="Q114" s="420"/>
    </row>
    <row r="115" spans="1:31" ht="12" customHeight="1">
      <c r="A115" s="29"/>
      <c r="B115" s="48" t="s">
        <v>4416</v>
      </c>
      <c r="C115" s="29" t="s">
        <v>2494</v>
      </c>
      <c r="E115" s="103"/>
      <c r="F115" s="103"/>
      <c r="G115" s="103"/>
      <c r="H115" s="103"/>
      <c r="I115" s="103"/>
      <c r="J115" s="103"/>
      <c r="K115" s="103"/>
      <c r="L115" s="103"/>
      <c r="M115" s="29"/>
      <c r="O115" s="49"/>
      <c r="P115" s="49"/>
    </row>
    <row r="116" spans="1:31" ht="12" customHeight="1">
      <c r="A116" s="29"/>
      <c r="C116" s="4252"/>
      <c r="D116" s="4252"/>
      <c r="E116" s="4252"/>
      <c r="F116" s="4252"/>
      <c r="G116" s="4252"/>
      <c r="H116" s="4252"/>
      <c r="I116" s="4252"/>
      <c r="J116" s="4252"/>
      <c r="K116" s="4252"/>
      <c r="L116" s="4252"/>
      <c r="M116" s="4252"/>
      <c r="N116" s="4252"/>
      <c r="O116" s="4252"/>
      <c r="P116" s="4252"/>
      <c r="Q116" s="4252"/>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4520</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3720</v>
      </c>
      <c r="E121" s="29"/>
      <c r="F121" s="29"/>
      <c r="G121" s="29"/>
      <c r="H121" s="29"/>
      <c r="I121" s="35"/>
      <c r="J121" s="35"/>
      <c r="K121" s="29"/>
      <c r="L121" s="29"/>
      <c r="M121" s="29"/>
      <c r="O121" s="48" t="s">
        <v>2176</v>
      </c>
      <c r="P121" s="176"/>
      <c r="Q121" s="420"/>
    </row>
    <row r="122" spans="1:31" ht="12" customHeight="1">
      <c r="A122" s="67" t="s">
        <v>3823</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3" t="s">
        <v>141</v>
      </c>
      <c r="C123" s="4103"/>
      <c r="D123" s="4103"/>
      <c r="E123" s="4103"/>
      <c r="F123" s="4103"/>
      <c r="G123" s="4103"/>
      <c r="H123" s="4103"/>
      <c r="I123" s="4103"/>
      <c r="J123" s="4103"/>
      <c r="K123" s="4103"/>
      <c r="L123" s="4103"/>
      <c r="M123" s="128" t="s">
        <v>1803</v>
      </c>
      <c r="N123" s="4283" t="s">
        <v>1641</v>
      </c>
      <c r="O123" s="4284"/>
      <c r="P123" s="4285" t="s">
        <v>1641</v>
      </c>
      <c r="Q123" s="4286"/>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4425</v>
      </c>
      <c r="O130" s="101" t="s">
        <v>1726</v>
      </c>
      <c r="P130" s="4109"/>
      <c r="Q130" s="4110"/>
      <c r="R130" s="847" t="s">
        <v>4412</v>
      </c>
    </row>
    <row r="131" spans="1:31" ht="12" customHeight="1">
      <c r="A131" s="40" t="s">
        <v>1836</v>
      </c>
      <c r="B131" s="113" t="s">
        <v>1611</v>
      </c>
      <c r="C131" s="29" t="s">
        <v>4427</v>
      </c>
      <c r="D131" s="29"/>
      <c r="E131" s="29"/>
      <c r="F131" s="29"/>
      <c r="G131" s="29"/>
      <c r="K131" s="29" t="s">
        <v>2453</v>
      </c>
      <c r="M131" s="4212"/>
      <c r="N131" s="4213"/>
      <c r="O131" s="49" t="s">
        <v>1611</v>
      </c>
      <c r="P131" s="74"/>
      <c r="Q131" s="416"/>
    </row>
    <row r="132" spans="1:31" ht="12" customHeight="1">
      <c r="A132" s="40"/>
      <c r="B132" s="113" t="s">
        <v>1612</v>
      </c>
      <c r="C132" s="29" t="s">
        <v>3923</v>
      </c>
      <c r="D132" s="29"/>
      <c r="E132" s="29"/>
      <c r="F132" s="29"/>
      <c r="G132" s="29"/>
      <c r="K132" s="29" t="s">
        <v>2453</v>
      </c>
      <c r="M132" s="4212"/>
      <c r="N132" s="421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4" t="s">
        <v>4690</v>
      </c>
      <c r="N133" s="4215"/>
      <c r="P133" s="4216" t="s">
        <v>1641</v>
      </c>
      <c r="Q133" s="4217"/>
    </row>
    <row r="134" spans="1:31" ht="12" customHeight="1">
      <c r="A134" s="40" t="s">
        <v>697</v>
      </c>
      <c r="B134" s="108" t="s">
        <v>635</v>
      </c>
      <c r="D134" s="108"/>
      <c r="E134" s="108"/>
      <c r="F134" s="108"/>
      <c r="G134" s="108"/>
      <c r="H134" s="108"/>
      <c r="J134" s="48" t="s">
        <v>697</v>
      </c>
      <c r="K134" s="4126"/>
      <c r="L134" s="4127"/>
      <c r="M134" s="4127"/>
      <c r="N134" s="4127"/>
      <c r="O134" s="4127"/>
      <c r="P134" s="4205"/>
      <c r="Q134" s="416"/>
    </row>
    <row r="135" spans="1:31" ht="21.75" customHeight="1">
      <c r="A135" s="110" t="s">
        <v>1957</v>
      </c>
      <c r="B135" s="4103" t="s">
        <v>4087</v>
      </c>
      <c r="C135" s="4103"/>
      <c r="D135" s="4103"/>
      <c r="E135" s="4103"/>
      <c r="F135" s="4103"/>
      <c r="G135" s="4103"/>
      <c r="H135" s="4103"/>
      <c r="I135" s="4103"/>
      <c r="J135" s="4103"/>
      <c r="K135" s="4103"/>
      <c r="L135" s="4103"/>
      <c r="M135" s="4103"/>
      <c r="N135" s="4103"/>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65" customHeight="1">
      <c r="A137" s="4117"/>
      <c r="B137" s="4118"/>
      <c r="C137" s="4118"/>
      <c r="D137" s="4118"/>
      <c r="E137" s="4118"/>
      <c r="F137" s="4118"/>
      <c r="G137" s="4118"/>
      <c r="H137" s="4118"/>
      <c r="I137" s="4118"/>
      <c r="J137" s="4118"/>
      <c r="K137" s="4118"/>
      <c r="L137" s="4118"/>
      <c r="M137" s="4118"/>
      <c r="N137" s="4118"/>
      <c r="O137" s="4118"/>
      <c r="P137" s="4118"/>
      <c r="Q137" s="411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4"/>
      <c r="B139" s="4115"/>
      <c r="C139" s="4115"/>
      <c r="D139" s="4115"/>
      <c r="E139" s="4115"/>
      <c r="F139" s="4115"/>
      <c r="G139" s="4115"/>
      <c r="H139" s="4115"/>
      <c r="I139" s="4115"/>
      <c r="J139" s="4115"/>
      <c r="K139" s="4115"/>
      <c r="L139" s="4115"/>
      <c r="M139" s="4115"/>
      <c r="N139" s="4115"/>
      <c r="O139" s="4115"/>
      <c r="P139" s="4115"/>
      <c r="Q139" s="4116"/>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9"/>
      <c r="Q141" s="4110"/>
    </row>
    <row r="142" spans="1:31" ht="21.75" customHeight="1">
      <c r="A142" s="110" t="s">
        <v>1836</v>
      </c>
      <c r="B142" s="4103" t="s">
        <v>3147</v>
      </c>
      <c r="C142" s="4103"/>
      <c r="D142" s="4103"/>
      <c r="E142" s="4103"/>
      <c r="F142" s="4103"/>
      <c r="G142" s="4103"/>
      <c r="H142" s="4103"/>
      <c r="I142" s="4103"/>
      <c r="J142" s="4103"/>
      <c r="K142" s="4103"/>
      <c r="L142" s="4103"/>
      <c r="M142" s="4103"/>
      <c r="N142" s="4103"/>
      <c r="O142" s="128" t="s">
        <v>1836</v>
      </c>
      <c r="P142" s="881"/>
      <c r="Q142" s="880"/>
    </row>
    <row r="143" spans="1:31" ht="22.35" customHeight="1">
      <c r="A143" s="110" t="s">
        <v>1838</v>
      </c>
      <c r="B143" s="4103" t="s">
        <v>3673</v>
      </c>
      <c r="C143" s="4103"/>
      <c r="D143" s="4103"/>
      <c r="E143" s="4103"/>
      <c r="F143" s="4103"/>
      <c r="G143" s="4103"/>
      <c r="H143" s="4103"/>
      <c r="I143" s="4103"/>
      <c r="J143" s="4103"/>
      <c r="K143" s="4103"/>
      <c r="L143" s="4103"/>
      <c r="M143" s="4103"/>
      <c r="N143" s="4103"/>
      <c r="O143" s="128" t="s">
        <v>1838</v>
      </c>
      <c r="P143" s="430"/>
      <c r="Q143" s="421"/>
    </row>
    <row r="144" spans="1:31" ht="22.35" customHeight="1">
      <c r="A144" s="110" t="s">
        <v>697</v>
      </c>
      <c r="B144" s="4103" t="s">
        <v>3148</v>
      </c>
      <c r="C144" s="4103"/>
      <c r="D144" s="4103"/>
      <c r="E144" s="4103"/>
      <c r="F144" s="4103"/>
      <c r="G144" s="4103"/>
      <c r="H144" s="4103"/>
      <c r="I144" s="4103"/>
      <c r="J144" s="4103"/>
      <c r="K144" s="4103"/>
      <c r="L144" s="4103"/>
      <c r="M144" s="4103"/>
      <c r="N144" s="4103"/>
      <c r="O144" s="128" t="s">
        <v>697</v>
      </c>
      <c r="P144" s="430"/>
      <c r="Q144" s="421"/>
    </row>
    <row r="145" spans="1:44" ht="21.75" customHeight="1">
      <c r="A145" s="110" t="s">
        <v>1957</v>
      </c>
      <c r="B145" s="4103" t="s">
        <v>3706</v>
      </c>
      <c r="C145" s="4103"/>
      <c r="D145" s="4103"/>
      <c r="E145" s="4103"/>
      <c r="F145" s="4103"/>
      <c r="G145" s="4103"/>
      <c r="H145" s="4103"/>
      <c r="I145" s="4103"/>
      <c r="J145" s="4103"/>
      <c r="K145" s="4103"/>
      <c r="L145" s="4103"/>
      <c r="M145" s="4103"/>
      <c r="N145" s="4103"/>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65" customHeight="1">
      <c r="A147" s="4117"/>
      <c r="B147" s="4118"/>
      <c r="C147" s="4118"/>
      <c r="D147" s="4118"/>
      <c r="E147" s="4118"/>
      <c r="F147" s="4118"/>
      <c r="G147" s="4118"/>
      <c r="H147" s="4118"/>
      <c r="I147" s="4118"/>
      <c r="J147" s="4118"/>
      <c r="K147" s="4118"/>
      <c r="L147" s="4118"/>
      <c r="M147" s="4118"/>
      <c r="N147" s="4118"/>
      <c r="O147" s="4118"/>
      <c r="P147" s="4118"/>
      <c r="Q147" s="411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4"/>
      <c r="B149" s="4115"/>
      <c r="C149" s="4115"/>
      <c r="D149" s="4115"/>
      <c r="E149" s="4115"/>
      <c r="F149" s="4115"/>
      <c r="G149" s="4115"/>
      <c r="H149" s="4115"/>
      <c r="I149" s="4115"/>
      <c r="J149" s="4115"/>
      <c r="K149" s="4115"/>
      <c r="L149" s="4115"/>
      <c r="M149" s="4115"/>
      <c r="N149" s="4115"/>
      <c r="O149" s="4115"/>
      <c r="P149" s="4115"/>
      <c r="Q149" s="4116"/>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4" t="s">
        <v>2420</v>
      </c>
      <c r="C151" s="3504"/>
      <c r="D151" s="3504"/>
      <c r="E151" s="236"/>
      <c r="N151" s="845" t="s">
        <v>4425</v>
      </c>
      <c r="O151" s="101" t="s">
        <v>1726</v>
      </c>
      <c r="P151" s="4109"/>
      <c r="Q151" s="4110"/>
      <c r="R151" s="847" t="s">
        <v>4412</v>
      </c>
    </row>
    <row r="152" spans="1:44" customFormat="1" ht="11.65" customHeight="1">
      <c r="B152" s="44" t="s">
        <v>4547</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4010</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3708</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3" t="s">
        <v>3149</v>
      </c>
      <c r="D158" s="4103"/>
      <c r="E158" s="4103"/>
      <c r="F158" s="4103"/>
      <c r="G158" s="4103"/>
      <c r="H158" s="4103"/>
      <c r="I158" s="4103"/>
      <c r="J158" s="4103"/>
      <c r="K158" s="4103"/>
      <c r="L158" s="4103"/>
      <c r="M158" s="4103"/>
      <c r="N158" s="410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3" t="s">
        <v>2413</v>
      </c>
      <c r="D160" s="4103"/>
      <c r="E160" s="4103"/>
      <c r="F160" s="4103"/>
      <c r="G160" s="4103"/>
      <c r="H160" s="4103"/>
      <c r="I160" s="4103"/>
      <c r="J160" s="4103"/>
      <c r="K160" s="4103"/>
      <c r="L160" s="4103"/>
      <c r="M160" s="4103"/>
      <c r="N160" s="4103"/>
      <c r="O160" s="128" t="s">
        <v>1446</v>
      </c>
      <c r="P160" s="430"/>
      <c r="Q160" s="421"/>
    </row>
    <row r="161" spans="1:44" s="102" customFormat="1" ht="21.75" customHeight="1">
      <c r="A161" s="110"/>
      <c r="B161" s="371" t="s">
        <v>1447</v>
      </c>
      <c r="C161" s="4103" t="s">
        <v>3220</v>
      </c>
      <c r="D161" s="4103"/>
      <c r="E161" s="4103"/>
      <c r="F161" s="4103"/>
      <c r="G161" s="4103"/>
      <c r="H161" s="4103"/>
      <c r="I161" s="4103"/>
      <c r="J161" s="4103"/>
      <c r="K161" s="4103"/>
      <c r="L161" s="4103"/>
      <c r="M161" s="4103"/>
      <c r="N161" s="4103"/>
      <c r="O161" s="128" t="s">
        <v>1447</v>
      </c>
      <c r="P161" s="430"/>
      <c r="Q161" s="421"/>
    </row>
    <row r="162" spans="1:44" ht="21.75" customHeight="1">
      <c r="A162" s="110" t="s">
        <v>1957</v>
      </c>
      <c r="B162" s="4103" t="s">
        <v>2414</v>
      </c>
      <c r="C162" s="4103"/>
      <c r="D162" s="4103"/>
      <c r="E162" s="4103"/>
      <c r="F162" s="4103"/>
      <c r="G162" s="4103"/>
      <c r="H162" s="4103"/>
      <c r="I162" s="4103"/>
      <c r="J162" s="4103"/>
      <c r="K162" s="4103"/>
      <c r="L162" s="4103"/>
      <c r="M162" s="4103"/>
      <c r="N162" s="410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65" customHeight="1">
      <c r="A165" s="4117"/>
      <c r="B165" s="4118"/>
      <c r="C165" s="4118"/>
      <c r="D165" s="4118"/>
      <c r="E165" s="4118"/>
      <c r="F165" s="4118"/>
      <c r="G165" s="4118"/>
      <c r="H165" s="4118"/>
      <c r="I165" s="4118"/>
      <c r="J165" s="4118"/>
      <c r="K165" s="4118"/>
      <c r="L165" s="4118"/>
      <c r="M165" s="4118"/>
      <c r="N165" s="4118"/>
      <c r="O165" s="4118"/>
      <c r="P165" s="4118"/>
      <c r="Q165" s="411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4"/>
      <c r="B167" s="4115"/>
      <c r="C167" s="4115"/>
      <c r="D167" s="4115"/>
      <c r="E167" s="4115"/>
      <c r="F167" s="4115"/>
      <c r="G167" s="4115"/>
      <c r="H167" s="4115"/>
      <c r="I167" s="4115"/>
      <c r="J167" s="4115"/>
      <c r="K167" s="4115"/>
      <c r="L167" s="4115"/>
      <c r="M167" s="4115"/>
      <c r="N167" s="4115"/>
      <c r="O167" s="4115"/>
      <c r="P167" s="4115"/>
      <c r="Q167" s="411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4425</v>
      </c>
      <c r="O169" s="101" t="s">
        <v>1726</v>
      </c>
      <c r="P169" s="4109"/>
      <c r="Q169" s="4110"/>
      <c r="R169" s="847" t="s">
        <v>4412</v>
      </c>
    </row>
    <row r="170" spans="1:44" customFormat="1" ht="12.75" customHeight="1">
      <c r="B170" s="44" t="s">
        <v>4547</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0" t="s">
        <v>1705</v>
      </c>
      <c r="K171" s="4131"/>
      <c r="L171" s="4131"/>
      <c r="M171" s="4131"/>
      <c r="N171" s="4132"/>
      <c r="O171" s="49" t="s">
        <v>1611</v>
      </c>
      <c r="P171" s="175"/>
      <c r="Q171" s="418"/>
    </row>
    <row r="172" spans="1:44" ht="12.75" customHeight="1">
      <c r="A172" s="107"/>
      <c r="B172" s="109" t="s">
        <v>3154</v>
      </c>
      <c r="C172" s="82"/>
      <c r="D172" s="82"/>
      <c r="E172" s="82"/>
      <c r="F172" s="82"/>
      <c r="H172" s="49" t="s">
        <v>1612</v>
      </c>
      <c r="I172" s="29" t="s">
        <v>1489</v>
      </c>
      <c r="J172" s="4157" t="s">
        <v>1705</v>
      </c>
      <c r="K172" s="4158"/>
      <c r="L172" s="4158"/>
      <c r="M172" s="4158"/>
      <c r="N172" s="4159"/>
      <c r="O172" s="49" t="s">
        <v>1612</v>
      </c>
      <c r="P172" s="176"/>
      <c r="Q172" s="420"/>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4425</v>
      </c>
      <c r="O177" s="101" t="s">
        <v>1726</v>
      </c>
      <c r="P177" s="4109"/>
      <c r="Q177" s="4110"/>
      <c r="R177" s="847" t="s">
        <v>4412</v>
      </c>
    </row>
    <row r="178" spans="1:44" customFormat="1" ht="12.75" customHeight="1">
      <c r="B178" s="44" t="s">
        <v>4547</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3" t="s">
        <v>1708</v>
      </c>
      <c r="C179" s="4103"/>
      <c r="D179" s="4103"/>
      <c r="E179" s="4103"/>
      <c r="F179" s="4103"/>
      <c r="G179" s="4103"/>
      <c r="H179" s="49" t="s">
        <v>1611</v>
      </c>
      <c r="I179" s="29" t="s">
        <v>591</v>
      </c>
      <c r="J179" s="4130" t="s">
        <v>1705</v>
      </c>
      <c r="K179" s="4131"/>
      <c r="L179" s="4131"/>
      <c r="M179" s="4131"/>
      <c r="N179" s="4132"/>
      <c r="O179" s="128" t="s">
        <v>1389</v>
      </c>
      <c r="P179" s="1224"/>
      <c r="Q179" s="1225"/>
    </row>
    <row r="180" spans="1:44" ht="12.75" customHeight="1">
      <c r="A180" s="118"/>
      <c r="B180" s="4103"/>
      <c r="C180" s="4103"/>
      <c r="D180" s="4103"/>
      <c r="E180" s="4103"/>
      <c r="F180" s="4103"/>
      <c r="G180" s="4103"/>
      <c r="H180" s="49" t="s">
        <v>1612</v>
      </c>
      <c r="I180" s="29" t="s">
        <v>110</v>
      </c>
      <c r="J180" s="4157" t="s">
        <v>1705</v>
      </c>
      <c r="K180" s="4158"/>
      <c r="L180" s="4158"/>
      <c r="M180" s="4158"/>
      <c r="N180" s="4159"/>
      <c r="O180" s="128" t="s">
        <v>1612</v>
      </c>
      <c r="P180" s="1669"/>
      <c r="Q180" s="675"/>
    </row>
    <row r="181" spans="1:44" ht="12.75" customHeight="1">
      <c r="A181" s="40" t="s">
        <v>1838</v>
      </c>
      <c r="B181" s="113" t="s">
        <v>1611</v>
      </c>
      <c r="C181" s="29" t="s">
        <v>4399</v>
      </c>
      <c r="E181" s="29"/>
      <c r="F181" s="29"/>
      <c r="G181" s="29"/>
      <c r="H181" s="29"/>
      <c r="I181" s="29"/>
      <c r="J181" s="29"/>
      <c r="K181" s="35"/>
      <c r="L181" s="29"/>
      <c r="M181" s="29"/>
      <c r="O181" s="128" t="s">
        <v>4400</v>
      </c>
      <c r="P181" s="1224"/>
      <c r="Q181" s="1225"/>
    </row>
    <row r="182" spans="1:44" ht="12.75" customHeight="1">
      <c r="A182" s="40"/>
      <c r="B182" s="113" t="s">
        <v>1612</v>
      </c>
      <c r="C182" s="29" t="s">
        <v>4398</v>
      </c>
      <c r="D182" s="29"/>
      <c r="E182" s="29"/>
      <c r="F182" s="29"/>
      <c r="G182" s="29"/>
      <c r="H182" s="29"/>
      <c r="I182" s="29"/>
      <c r="J182" s="29"/>
      <c r="K182" s="35"/>
      <c r="L182" s="29"/>
      <c r="M182" s="29"/>
      <c r="O182" s="128" t="s">
        <v>1612</v>
      </c>
      <c r="P182" s="176"/>
      <c r="Q182" s="420"/>
    </row>
    <row r="183" spans="1:44" ht="12.75" customHeight="1">
      <c r="A183" s="40" t="s">
        <v>697</v>
      </c>
      <c r="B183" s="29" t="s">
        <v>4419</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9"/>
      <c r="Q189" s="411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3897</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0" t="s">
        <v>1641</v>
      </c>
      <c r="L192" s="413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4609</v>
      </c>
      <c r="E193" s="33"/>
      <c r="F193" s="33"/>
      <c r="G193" s="33"/>
      <c r="H193" s="33"/>
      <c r="I193" s="35"/>
      <c r="J193" s="49" t="s">
        <v>1390</v>
      </c>
      <c r="K193" s="4263" t="s">
        <v>1641</v>
      </c>
      <c r="L193" s="4264"/>
      <c r="Q193" s="427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9" t="s">
        <v>4088</v>
      </c>
      <c r="D194" s="4270"/>
      <c r="E194" s="4270"/>
      <c r="F194" s="4270"/>
      <c r="G194" s="4270"/>
      <c r="H194" s="4270"/>
      <c r="I194" s="4270"/>
      <c r="J194" s="4270"/>
      <c r="K194" s="4270"/>
      <c r="L194" s="4270"/>
      <c r="M194" s="4270"/>
      <c r="N194" s="4270"/>
      <c r="O194" s="4271"/>
      <c r="Q194" s="427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3660</v>
      </c>
      <c r="D195" s="115"/>
      <c r="E195" s="33"/>
      <c r="F195" s="33"/>
      <c r="G195" s="33"/>
      <c r="H195" s="33"/>
      <c r="I195" s="72"/>
      <c r="J195" s="48" t="s">
        <v>1391</v>
      </c>
      <c r="K195" s="4257" t="s">
        <v>1641</v>
      </c>
      <c r="L195" s="4258"/>
      <c r="M195" s="4258"/>
      <c r="N195" s="4259"/>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3898</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3727</v>
      </c>
      <c r="D197" s="29"/>
      <c r="E197" s="29"/>
      <c r="F197" s="29"/>
      <c r="G197" s="29"/>
      <c r="H197" s="29"/>
      <c r="I197" s="29"/>
      <c r="J197" s="29"/>
      <c r="K197" s="35"/>
      <c r="L197" s="35"/>
      <c r="M197" s="35"/>
      <c r="N197" s="48" t="s">
        <v>3066</v>
      </c>
      <c r="O197" s="1174" t="e">
        <f>#REF!</f>
        <v>#REF!</v>
      </c>
      <c r="P197" s="4137" t="s">
        <v>3729</v>
      </c>
      <c r="Q197" s="424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3730</v>
      </c>
      <c r="D198" s="29"/>
      <c r="E198" s="29"/>
      <c r="F198" s="29"/>
      <c r="H198" s="48" t="s">
        <v>3731</v>
      </c>
      <c r="I198" s="29" t="s">
        <v>3740</v>
      </c>
      <c r="M198" s="35"/>
      <c r="N198" s="35"/>
      <c r="O198" s="231"/>
      <c r="P198" s="863" t="s">
        <v>720</v>
      </c>
      <c r="Q198" s="1160" t="s">
        <v>3728</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3" t="s">
        <v>949</v>
      </c>
      <c r="D199" s="4244"/>
      <c r="E199" s="4244"/>
      <c r="F199" s="4244"/>
      <c r="G199" s="4245"/>
      <c r="H199" s="48" t="s">
        <v>1958</v>
      </c>
      <c r="I199" s="4246" t="s">
        <v>3311</v>
      </c>
      <c r="J199" s="4247"/>
      <c r="K199" s="4247"/>
      <c r="L199" s="4247"/>
      <c r="M199" s="4247"/>
      <c r="N199" s="4247"/>
      <c r="O199" s="424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0" t="s">
        <v>949</v>
      </c>
      <c r="D200" s="4261"/>
      <c r="E200" s="4261"/>
      <c r="F200" s="4261"/>
      <c r="G200" s="4262"/>
      <c r="H200" s="48" t="s">
        <v>1959</v>
      </c>
      <c r="I200" s="3034"/>
      <c r="J200" s="2976"/>
      <c r="K200" s="2976"/>
      <c r="L200" s="2976"/>
      <c r="M200" s="2976"/>
      <c r="N200" s="2976"/>
      <c r="O200" s="297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0" t="s">
        <v>949</v>
      </c>
      <c r="D201" s="4261"/>
      <c r="E201" s="4261"/>
      <c r="F201" s="4261"/>
      <c r="G201" s="4262"/>
      <c r="H201" s="48" t="s">
        <v>1608</v>
      </c>
      <c r="I201" s="3034" t="s">
        <v>3311</v>
      </c>
      <c r="J201" s="2976"/>
      <c r="K201" s="2976"/>
      <c r="L201" s="2976"/>
      <c r="M201" s="2976"/>
      <c r="N201" s="2976"/>
      <c r="O201" s="297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3739</v>
      </c>
      <c r="C202" s="4196" t="s">
        <v>949</v>
      </c>
      <c r="D202" s="4197"/>
      <c r="E202" s="4197"/>
      <c r="F202" s="4197"/>
      <c r="G202" s="4198"/>
      <c r="H202" s="48" t="s">
        <v>3739</v>
      </c>
      <c r="I202" s="3023"/>
      <c r="J202" s="2973"/>
      <c r="K202" s="2973"/>
      <c r="L202" s="2973"/>
      <c r="M202" s="2973"/>
      <c r="N202" s="2973"/>
      <c r="O202" s="2974"/>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4011</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3" t="s">
        <v>4634</v>
      </c>
      <c r="D209" s="4103"/>
      <c r="E209" s="4103"/>
      <c r="F209" s="4103"/>
      <c r="G209" s="4103"/>
      <c r="H209" s="4103"/>
      <c r="I209" s="4103"/>
      <c r="J209" s="4103"/>
      <c r="K209" s="4103"/>
      <c r="L209" s="4103"/>
      <c r="M209" s="4103"/>
      <c r="N209" s="410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3997</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3674</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4012</v>
      </c>
      <c r="C217" s="33"/>
      <c r="D217" s="874"/>
      <c r="E217" s="874"/>
      <c r="F217" s="874"/>
      <c r="G217" s="874"/>
      <c r="H217" s="874"/>
      <c r="I217" s="874"/>
      <c r="J217" s="874"/>
      <c r="K217" s="395" t="s">
        <v>4630</v>
      </c>
      <c r="L217" s="1263" t="e">
        <f>#REF!</f>
        <v>#REF!</v>
      </c>
      <c r="M217" s="874"/>
      <c r="O217" s="101" t="s">
        <v>1726</v>
      </c>
      <c r="P217" s="4109"/>
      <c r="Q217" s="4110"/>
    </row>
    <row r="218" spans="1:44" ht="11.25" customHeight="1">
      <c r="A218" s="110" t="s">
        <v>1836</v>
      </c>
      <c r="B218" s="108" t="s">
        <v>4015</v>
      </c>
    </row>
    <row r="219" spans="1:44" ht="10.5" customHeight="1">
      <c r="A219" s="110"/>
      <c r="B219" s="29" t="s">
        <v>4017</v>
      </c>
      <c r="C219" s="35"/>
      <c r="D219" s="35"/>
      <c r="E219" s="35"/>
      <c r="F219" s="35"/>
      <c r="G219" s="35"/>
      <c r="H219" s="35"/>
      <c r="I219" s="35"/>
      <c r="J219" s="1431" t="s">
        <v>4016</v>
      </c>
      <c r="K219" s="29" t="s">
        <v>4017</v>
      </c>
      <c r="L219" s="35"/>
      <c r="M219" s="35"/>
      <c r="N219" s="35"/>
      <c r="O219" s="35"/>
      <c r="P219" s="35"/>
      <c r="Q219" s="1431" t="s">
        <v>4016</v>
      </c>
    </row>
    <row r="220" spans="1:44" s="102" customFormat="1" ht="11.25" customHeight="1">
      <c r="B220" s="4246"/>
      <c r="C220" s="4247"/>
      <c r="D220" s="4247"/>
      <c r="E220" s="4247"/>
      <c r="F220" s="4247"/>
      <c r="G220" s="4247"/>
      <c r="H220" s="4247"/>
      <c r="I220" s="4247"/>
      <c r="J220" s="1881"/>
      <c r="K220" s="4246"/>
      <c r="L220" s="4247"/>
      <c r="M220" s="4247"/>
      <c r="N220" s="4247"/>
      <c r="O220" s="4247"/>
      <c r="P220" s="4247"/>
      <c r="Q220" s="1881"/>
    </row>
    <row r="221" spans="1:44" s="102" customFormat="1" ht="11.25" customHeight="1">
      <c r="A221" s="110"/>
      <c r="B221" s="3034"/>
      <c r="C221" s="2976"/>
      <c r="D221" s="2976"/>
      <c r="E221" s="2976"/>
      <c r="F221" s="2976"/>
      <c r="G221" s="2976"/>
      <c r="H221" s="2976"/>
      <c r="I221" s="2976"/>
      <c r="J221" s="1882"/>
      <c r="K221" s="3034"/>
      <c r="L221" s="2976"/>
      <c r="M221" s="2976"/>
      <c r="N221" s="2976"/>
      <c r="O221" s="2976"/>
      <c r="P221" s="2976"/>
      <c r="Q221" s="1882"/>
    </row>
    <row r="222" spans="1:44" s="102" customFormat="1" ht="11.25" customHeight="1">
      <c r="A222" s="110"/>
      <c r="B222" s="3034"/>
      <c r="C222" s="2976"/>
      <c r="D222" s="2976"/>
      <c r="E222" s="2976"/>
      <c r="F222" s="2976"/>
      <c r="G222" s="2976"/>
      <c r="H222" s="2976"/>
      <c r="I222" s="2976"/>
      <c r="J222" s="1882"/>
      <c r="K222" s="3034"/>
      <c r="L222" s="2976"/>
      <c r="M222" s="2976"/>
      <c r="N222" s="2976"/>
      <c r="O222" s="2976"/>
      <c r="P222" s="2976"/>
      <c r="Q222" s="1882"/>
    </row>
    <row r="223" spans="1:44" s="102" customFormat="1" ht="11.25" customHeight="1">
      <c r="A223" s="110"/>
      <c r="B223" s="3034"/>
      <c r="C223" s="2976"/>
      <c r="D223" s="2976"/>
      <c r="E223" s="2976"/>
      <c r="F223" s="2976"/>
      <c r="G223" s="2976"/>
      <c r="H223" s="2976"/>
      <c r="I223" s="2976"/>
      <c r="J223" s="1882"/>
      <c r="K223" s="3034"/>
      <c r="L223" s="2976"/>
      <c r="M223" s="2976"/>
      <c r="N223" s="2976"/>
      <c r="O223" s="2976"/>
      <c r="P223" s="2976"/>
      <c r="Q223" s="1882"/>
    </row>
    <row r="224" spans="1:44" s="102" customFormat="1" ht="11.25" customHeight="1">
      <c r="A224" s="110"/>
      <c r="B224" s="3034"/>
      <c r="C224" s="2976"/>
      <c r="D224" s="2976"/>
      <c r="E224" s="2976"/>
      <c r="F224" s="2976"/>
      <c r="G224" s="2976"/>
      <c r="H224" s="2976"/>
      <c r="I224" s="2976"/>
      <c r="J224" s="1882"/>
      <c r="K224" s="3034"/>
      <c r="L224" s="2976"/>
      <c r="M224" s="2976"/>
      <c r="N224" s="2976"/>
      <c r="O224" s="2976"/>
      <c r="P224" s="2976"/>
      <c r="Q224" s="1882"/>
    </row>
    <row r="225" spans="1:44" s="102" customFormat="1" ht="11.25" customHeight="1">
      <c r="A225" s="110"/>
      <c r="B225" s="3034"/>
      <c r="C225" s="2976"/>
      <c r="D225" s="2976"/>
      <c r="E225" s="2976"/>
      <c r="F225" s="2976"/>
      <c r="G225" s="2976"/>
      <c r="H225" s="2976"/>
      <c r="I225" s="2976"/>
      <c r="J225" s="1882"/>
      <c r="K225" s="3034"/>
      <c r="L225" s="2976"/>
      <c r="M225" s="2976"/>
      <c r="N225" s="2976"/>
      <c r="O225" s="2976"/>
      <c r="P225" s="2976"/>
      <c r="Q225" s="1882"/>
    </row>
    <row r="226" spans="1:44" s="102" customFormat="1" ht="11.25" customHeight="1">
      <c r="A226" s="110"/>
      <c r="B226" s="3034"/>
      <c r="C226" s="2976"/>
      <c r="D226" s="2976"/>
      <c r="E226" s="2976"/>
      <c r="F226" s="2976"/>
      <c r="G226" s="2976"/>
      <c r="H226" s="2976"/>
      <c r="I226" s="2976"/>
      <c r="J226" s="1882"/>
      <c r="K226" s="3034"/>
      <c r="L226" s="2976"/>
      <c r="M226" s="2976"/>
      <c r="N226" s="2976"/>
      <c r="O226" s="2976"/>
      <c r="P226" s="2976"/>
      <c r="Q226" s="1882"/>
    </row>
    <row r="227" spans="1:44" s="102" customFormat="1" ht="11.25" customHeight="1">
      <c r="B227" s="3023"/>
      <c r="C227" s="2973"/>
      <c r="D227" s="2973"/>
      <c r="E227" s="2973"/>
      <c r="F227" s="2973"/>
      <c r="G227" s="2973"/>
      <c r="H227" s="2973"/>
      <c r="I227" s="2973"/>
      <c r="J227" s="1883"/>
      <c r="K227" s="3023"/>
      <c r="L227" s="2973"/>
      <c r="M227" s="2973"/>
      <c r="N227" s="2973"/>
      <c r="O227" s="2973"/>
      <c r="P227" s="2973"/>
      <c r="Q227" s="1883"/>
    </row>
    <row r="228" spans="1:44" ht="12" customHeight="1">
      <c r="A228" s="110" t="s">
        <v>1838</v>
      </c>
      <c r="B228" s="1447" t="s">
        <v>4018</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3" t="s">
        <v>4014</v>
      </c>
      <c r="C229" s="4103"/>
      <c r="D229" s="4103"/>
      <c r="E229" s="4103"/>
      <c r="F229" s="4103"/>
      <c r="G229" s="4103"/>
      <c r="H229" s="4103"/>
      <c r="I229" s="4103"/>
      <c r="J229" s="4103"/>
      <c r="K229" s="4103"/>
      <c r="L229" s="4103"/>
      <c r="M229" s="4103"/>
      <c r="N229" s="410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4013</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3824</v>
      </c>
      <c r="C236" s="4"/>
      <c r="D236" s="66"/>
      <c r="E236" s="66"/>
      <c r="F236" s="66"/>
      <c r="G236" s="66"/>
      <c r="H236" s="874"/>
      <c r="I236" s="874"/>
      <c r="J236" s="874"/>
      <c r="K236" s="874"/>
      <c r="L236" s="657"/>
      <c r="M236" s="1199"/>
      <c r="O236" s="101" t="s">
        <v>1726</v>
      </c>
      <c r="P236" s="4109"/>
      <c r="Q236" s="411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4089</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6" t="s">
        <v>1641</v>
      </c>
      <c r="L238" s="4127"/>
      <c r="M238" s="4127"/>
      <c r="N238" s="4127"/>
      <c r="O238" s="4205"/>
      <c r="P238" s="4234" t="s">
        <v>1641</v>
      </c>
      <c r="Q238" s="423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3" t="s">
        <v>4090</v>
      </c>
      <c r="C239" s="4103"/>
      <c r="D239" s="4103"/>
      <c r="E239" s="4103"/>
      <c r="F239" s="4103"/>
      <c r="G239" s="4103"/>
      <c r="H239" s="4103"/>
      <c r="I239" s="4103"/>
      <c r="J239" s="4103"/>
      <c r="K239" s="4103"/>
      <c r="L239" s="4103"/>
      <c r="M239" s="4103"/>
      <c r="N239" s="4103"/>
      <c r="O239" s="419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2"/>
      <c r="L240" s="4193"/>
      <c r="M240" s="4193"/>
      <c r="N240" s="4193"/>
      <c r="O240" s="4194"/>
      <c r="P240" s="4188"/>
      <c r="Q240" s="418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7"/>
      <c r="L241" s="4158"/>
      <c r="M241" s="4158"/>
      <c r="N241" s="4158"/>
      <c r="O241" s="4159"/>
      <c r="P241" s="4190"/>
      <c r="Q241" s="419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4091</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3" t="s">
        <v>4101</v>
      </c>
      <c r="D243" s="4103"/>
      <c r="E243" s="4103"/>
      <c r="F243" s="4103"/>
      <c r="G243" s="4103"/>
      <c r="H243" s="4103"/>
      <c r="I243" s="4103"/>
      <c r="J243" s="4103"/>
      <c r="K243" s="4103"/>
      <c r="L243" s="4103"/>
      <c r="M243" s="4103"/>
      <c r="N243" s="410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3" t="s">
        <v>4102</v>
      </c>
      <c r="D244" s="4103"/>
      <c r="E244" s="4103"/>
      <c r="F244" s="4103"/>
      <c r="G244" s="4103"/>
      <c r="H244" s="4103"/>
      <c r="I244" s="4103"/>
      <c r="J244" s="4103"/>
      <c r="K244" s="4103"/>
      <c r="L244" s="4103"/>
      <c r="M244" s="4103"/>
      <c r="N244" s="410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3" t="s">
        <v>3159</v>
      </c>
      <c r="C246" s="4133"/>
      <c r="D246" s="4133"/>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3"/>
      <c r="C247" s="4133"/>
      <c r="D247" s="4133"/>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3"/>
      <c r="C248" s="4133"/>
      <c r="D248" s="4133"/>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3"/>
      <c r="C249" s="4133"/>
      <c r="D249" s="4133"/>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3" t="s">
        <v>4397</v>
      </c>
      <c r="F250" s="4103"/>
      <c r="G250" s="4103"/>
      <c r="H250" s="4103"/>
      <c r="I250" s="4103"/>
      <c r="J250" s="4103"/>
      <c r="K250" s="4103"/>
      <c r="L250" s="4103"/>
      <c r="M250" s="4103"/>
      <c r="N250" s="410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09"/>
      <c r="Q256" s="411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3" t="s">
        <v>3899</v>
      </c>
      <c r="D257" s="4103"/>
      <c r="E257" s="4103"/>
      <c r="F257" s="4103"/>
      <c r="G257" s="4103"/>
      <c r="H257" s="4103"/>
      <c r="I257" s="4103"/>
      <c r="J257" s="4103"/>
      <c r="K257" s="4103"/>
      <c r="L257" s="4103"/>
      <c r="M257" s="4103"/>
      <c r="N257" s="410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3" t="s">
        <v>3924</v>
      </c>
      <c r="D260" s="4103"/>
      <c r="E260" s="4103"/>
      <c r="F260" s="4103"/>
      <c r="G260" s="4103"/>
      <c r="H260" s="4103"/>
      <c r="I260" s="4103"/>
      <c r="J260" s="4103"/>
      <c r="K260" s="4103"/>
      <c r="L260" s="4103"/>
      <c r="M260" s="4103"/>
      <c r="N260" s="4103"/>
      <c r="O260" s="1341" t="s">
        <v>3925</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3" t="s">
        <v>4019</v>
      </c>
      <c r="C262" s="4103"/>
      <c r="D262" s="4103"/>
      <c r="E262" s="4103"/>
      <c r="F262" s="4103"/>
      <c r="G262" s="4103"/>
      <c r="H262" s="4103"/>
      <c r="I262" s="4103"/>
      <c r="J262" s="4103"/>
      <c r="K262" s="4103"/>
      <c r="L262" s="4103"/>
      <c r="M262" s="4103"/>
      <c r="N262" s="410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09"/>
      <c r="Q268" s="411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4089</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4093</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3" t="s">
        <v>3721</v>
      </c>
      <c r="D271" s="4103"/>
      <c r="E271" s="4103"/>
      <c r="F271" s="4103"/>
      <c r="G271" s="4103"/>
      <c r="H271" s="4103"/>
      <c r="I271" s="4103"/>
      <c r="J271" s="4103"/>
      <c r="K271" s="4103"/>
      <c r="L271" s="4103"/>
      <c r="M271" s="4103"/>
      <c r="N271" s="410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3" t="s">
        <v>2500</v>
      </c>
      <c r="D272" s="4103"/>
      <c r="E272" s="4103"/>
      <c r="F272" s="4103"/>
      <c r="G272" s="4103"/>
      <c r="H272" s="4103"/>
      <c r="I272" s="4103"/>
      <c r="J272" s="4103"/>
      <c r="K272" s="4103"/>
      <c r="L272" s="4103"/>
      <c r="M272" s="4103"/>
      <c r="N272" s="410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4" t="s">
        <v>3247</v>
      </c>
      <c r="M273" s="4135"/>
      <c r="N273" s="4135"/>
      <c r="O273" s="4135"/>
      <c r="P273" s="413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4092</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4094</v>
      </c>
      <c r="C275" s="115"/>
      <c r="D275" s="72"/>
      <c r="E275" s="72"/>
      <c r="F275" s="115"/>
      <c r="H275" s="115"/>
      <c r="I275" s="115"/>
      <c r="N275" s="1712" t="s">
        <v>4095</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09"/>
      <c r="Q281" s="411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4089</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3" t="s">
        <v>4548</v>
      </c>
      <c r="D284" s="4103"/>
      <c r="E284" s="4103"/>
      <c r="F284" s="4103"/>
      <c r="G284" s="4103"/>
      <c r="H284" s="4103"/>
      <c r="I284" s="4103"/>
      <c r="J284" s="4103"/>
      <c r="K284" s="4103"/>
      <c r="L284" s="4103"/>
      <c r="M284" s="4103"/>
      <c r="N284" s="4103"/>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3" t="s">
        <v>4549</v>
      </c>
      <c r="D285" s="4103"/>
      <c r="E285" s="4103"/>
      <c r="F285" s="4103"/>
      <c r="G285" s="4103"/>
      <c r="H285" s="4103"/>
      <c r="I285" s="4103"/>
      <c r="J285" s="4103"/>
      <c r="K285" s="4103"/>
      <c r="L285" s="4103"/>
      <c r="M285" s="4103"/>
      <c r="N285" s="410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3" t="s">
        <v>4096</v>
      </c>
      <c r="D286" s="4103"/>
      <c r="E286" s="4103"/>
      <c r="F286" s="4103"/>
      <c r="G286" s="4103"/>
      <c r="H286" s="4103"/>
      <c r="I286" s="4103"/>
      <c r="J286" s="4103"/>
      <c r="K286" s="4103"/>
      <c r="L286" s="4103"/>
      <c r="M286" s="4103"/>
      <c r="N286" s="410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3" t="s">
        <v>4099</v>
      </c>
      <c r="E288" s="4103"/>
      <c r="F288" s="4103"/>
      <c r="G288" s="4103"/>
      <c r="H288" s="4103"/>
      <c r="I288" s="108"/>
      <c r="J288" s="4111" t="s">
        <v>3180</v>
      </c>
      <c r="K288" s="4137"/>
      <c r="L288" s="4137"/>
      <c r="M288" s="4241" t="s">
        <v>3161</v>
      </c>
      <c r="N288" s="424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3"/>
      <c r="E289" s="4103"/>
      <c r="F289" s="4103"/>
      <c r="G289" s="4103"/>
      <c r="H289" s="4103"/>
      <c r="I289" s="248"/>
      <c r="J289" s="4137"/>
      <c r="K289" s="4137"/>
      <c r="L289" s="4137"/>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3"/>
      <c r="E290" s="4103"/>
      <c r="F290" s="4103"/>
      <c r="G290" s="4103"/>
      <c r="H290" s="4103"/>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3" t="s">
        <v>4100</v>
      </c>
      <c r="E291" s="4103"/>
      <c r="F291" s="4103"/>
      <c r="G291" s="4103"/>
      <c r="H291" s="4103"/>
      <c r="I291" s="369" t="s">
        <v>3298</v>
      </c>
      <c r="J291" s="144"/>
      <c r="K291" s="1508"/>
      <c r="L291" s="782" t="e">
        <f>IF(K291&lt;M291,"Check!!!","")</f>
        <v>#REF!</v>
      </c>
      <c r="M291" s="1510" t="e">
        <f>ROUNDUP(K290*'Part VII-Threshold Criteria OLD'!N291,0)</f>
        <v>#REF!</v>
      </c>
      <c r="N291" s="1146" t="e">
        <f>#REF!</f>
        <v>#REF!</v>
      </c>
      <c r="O291" s="48" t="s">
        <v>1959</v>
      </c>
      <c r="P291" s="4140"/>
      <c r="Q291" s="413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3"/>
      <c r="E292" s="4103"/>
      <c r="F292" s="4103"/>
      <c r="G292" s="4103"/>
      <c r="H292" s="4103"/>
      <c r="O292" s="33"/>
      <c r="P292" s="4141"/>
      <c r="Q292" s="413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3" t="s">
        <v>4631</v>
      </c>
      <c r="D293" s="4103"/>
      <c r="E293" s="4103"/>
      <c r="F293" s="4103"/>
      <c r="G293" s="4103"/>
      <c r="H293" s="4103"/>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3"/>
      <c r="D294" s="4103"/>
      <c r="E294" s="4103"/>
      <c r="F294" s="4103"/>
      <c r="G294" s="4103"/>
      <c r="H294" s="410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3"/>
      <c r="D295" s="4103"/>
      <c r="E295" s="4103"/>
      <c r="F295" s="4103"/>
      <c r="G295" s="4103"/>
      <c r="H295" s="410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3" t="s">
        <v>4610</v>
      </c>
      <c r="C297" s="4103"/>
      <c r="D297" s="4103"/>
      <c r="E297" s="4103"/>
      <c r="F297" s="4103"/>
      <c r="G297" s="4103"/>
      <c r="H297" s="4103"/>
      <c r="I297" s="4103"/>
      <c r="J297" s="4103"/>
      <c r="K297" s="4103"/>
      <c r="L297" s="4103"/>
      <c r="M297" s="4103"/>
      <c r="N297" s="410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185"/>
      <c r="M298" s="4186"/>
      <c r="N298" s="4186"/>
      <c r="O298" s="4186"/>
      <c r="P298" s="4186"/>
      <c r="Q298" s="418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3" t="s">
        <v>4550</v>
      </c>
      <c r="D299" s="4103"/>
      <c r="E299" s="4103"/>
      <c r="F299" s="4103"/>
      <c r="G299" s="4103"/>
      <c r="H299" s="4103"/>
      <c r="I299" s="4103"/>
      <c r="J299" s="4103"/>
      <c r="K299" s="4103"/>
      <c r="L299" s="4103"/>
      <c r="M299" s="4103"/>
      <c r="N299" s="4103"/>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3" t="s">
        <v>3707</v>
      </c>
      <c r="D300" s="4103"/>
      <c r="E300" s="4103"/>
      <c r="F300" s="4103"/>
      <c r="G300" s="4103"/>
      <c r="H300" s="4103"/>
      <c r="I300" s="4103"/>
      <c r="J300" s="4103"/>
      <c r="K300" s="4103"/>
      <c r="L300" s="4103"/>
      <c r="M300" s="4103"/>
      <c r="N300" s="4103"/>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3" t="s">
        <v>3083</v>
      </c>
      <c r="D301" s="4103"/>
      <c r="E301" s="4103"/>
      <c r="F301" s="4103"/>
      <c r="G301" s="4103"/>
      <c r="H301" s="4103"/>
      <c r="I301" s="4103"/>
      <c r="J301" s="4103"/>
      <c r="K301" s="4103"/>
      <c r="L301" s="4103"/>
      <c r="M301" s="4103"/>
      <c r="N301" s="4103"/>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3" t="s">
        <v>3084</v>
      </c>
      <c r="D302" s="4103"/>
      <c r="E302" s="4103"/>
      <c r="F302" s="4103"/>
      <c r="G302" s="4103"/>
      <c r="H302" s="4103"/>
      <c r="I302" s="4103"/>
      <c r="J302" s="4103"/>
      <c r="K302" s="4103"/>
      <c r="L302" s="4103"/>
      <c r="M302" s="4103"/>
      <c r="N302" s="4103"/>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2"/>
      <c r="B306" s="4143"/>
      <c r="C306" s="4143"/>
      <c r="D306" s="4143"/>
      <c r="E306" s="4143"/>
      <c r="F306" s="4143"/>
      <c r="G306" s="4143"/>
      <c r="H306" s="4143"/>
      <c r="I306" s="4143"/>
      <c r="J306" s="4143"/>
      <c r="K306" s="4143"/>
      <c r="L306" s="4143"/>
      <c r="M306" s="4143"/>
      <c r="N306" s="4143"/>
      <c r="O306" s="4143"/>
      <c r="P306" s="4143"/>
      <c r="Q306" s="414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236"/>
      <c r="Q307" s="423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3661</v>
      </c>
      <c r="E310" s="33"/>
      <c r="F310" s="33"/>
      <c r="G310" s="33"/>
      <c r="H310" s="33"/>
      <c r="I310" s="72"/>
      <c r="J310" s="48"/>
      <c r="K310" s="4126" t="s">
        <v>1641</v>
      </c>
      <c r="L310" s="4127"/>
      <c r="M310" s="4127"/>
      <c r="N310" s="420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4560</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3" t="s">
        <v>4559</v>
      </c>
      <c r="C312" s="4103"/>
      <c r="D312" s="4103"/>
      <c r="E312" s="4103"/>
      <c r="F312" s="4103"/>
      <c r="G312" s="4103"/>
      <c r="H312" s="4103"/>
      <c r="I312" s="4103"/>
      <c r="J312" s="4103"/>
      <c r="K312" s="4103"/>
      <c r="L312" s="4103"/>
      <c r="M312" s="4103"/>
      <c r="N312" s="410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5" t="s">
        <v>2141</v>
      </c>
      <c r="H314" s="4176"/>
      <c r="I314" s="4176"/>
      <c r="J314" s="4176"/>
      <c r="K314" s="4176"/>
      <c r="L314" s="4176"/>
      <c r="M314" s="4176"/>
      <c r="N314" s="417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3" t="s">
        <v>1065</v>
      </c>
      <c r="D315" s="4103"/>
      <c r="E315" s="4103"/>
      <c r="F315" s="4195"/>
      <c r="G315" s="3023" t="s">
        <v>1017</v>
      </c>
      <c r="H315" s="4199"/>
      <c r="I315" s="4199"/>
      <c r="J315" s="4199"/>
      <c r="K315" s="4199"/>
      <c r="L315" s="4199"/>
      <c r="M315" s="4199"/>
      <c r="N315" s="420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4020</v>
      </c>
      <c r="D317" s="1452"/>
      <c r="E317" s="1452"/>
      <c r="F317" s="1452"/>
      <c r="G317" s="4129" t="s">
        <v>4021</v>
      </c>
      <c r="H317" s="4129"/>
      <c r="I317" s="4129"/>
      <c r="J317" s="4129"/>
      <c r="K317" s="4129"/>
      <c r="L317" s="4129"/>
      <c r="M317" s="4129"/>
      <c r="N317" s="412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2"/>
      <c r="D318" s="4183"/>
      <c r="E318" s="4183"/>
      <c r="F318" s="4183"/>
      <c r="G318" s="4183"/>
      <c r="H318" s="4183"/>
      <c r="I318" s="4183"/>
      <c r="J318" s="4183"/>
      <c r="K318" s="4183"/>
      <c r="L318" s="4183"/>
      <c r="M318" s="4183"/>
      <c r="N318" s="4184"/>
      <c r="O318" s="128" t="s">
        <v>4196</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6"/>
      <c r="D319" s="4197"/>
      <c r="E319" s="4197"/>
      <c r="F319" s="4197"/>
      <c r="G319" s="4197"/>
      <c r="H319" s="4197"/>
      <c r="I319" s="4197"/>
      <c r="J319" s="4197"/>
      <c r="K319" s="4197"/>
      <c r="L319" s="4197"/>
      <c r="M319" s="4197"/>
      <c r="N319" s="4198"/>
      <c r="O319" s="128" t="s">
        <v>4197</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3" t="s">
        <v>4022</v>
      </c>
      <c r="C320" s="4103"/>
      <c r="D320" s="4103"/>
      <c r="E320" s="4103"/>
      <c r="F320" s="4103"/>
      <c r="G320" s="4103"/>
      <c r="H320" s="4103"/>
      <c r="I320" s="4103"/>
      <c r="J320" s="4103"/>
      <c r="K320" s="4103"/>
      <c r="L320" s="4103"/>
      <c r="M320" s="4103"/>
      <c r="N320" s="410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7"/>
      <c r="B323" s="4118"/>
      <c r="C323" s="4118"/>
      <c r="D323" s="4118"/>
      <c r="E323" s="4118"/>
      <c r="F323" s="4118"/>
      <c r="G323" s="4118"/>
      <c r="H323" s="4118"/>
      <c r="I323" s="4118"/>
      <c r="J323" s="4118"/>
      <c r="K323" s="4118"/>
      <c r="L323" s="4118"/>
      <c r="M323" s="4118"/>
      <c r="N323" s="4118"/>
      <c r="O323" s="4118"/>
      <c r="P323" s="4118"/>
      <c r="Q323" s="411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4"/>
      <c r="B325" s="4115"/>
      <c r="C325" s="4115"/>
      <c r="D325" s="4115"/>
      <c r="E325" s="4115"/>
      <c r="F325" s="4115"/>
      <c r="G325" s="4115"/>
      <c r="H325" s="4115"/>
      <c r="I325" s="4115"/>
      <c r="J325" s="4115"/>
      <c r="K325" s="4115"/>
      <c r="L325" s="4115"/>
      <c r="M325" s="4115"/>
      <c r="N325" s="4115"/>
      <c r="O325" s="4115"/>
      <c r="P325" s="4115"/>
      <c r="Q325" s="411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4426</v>
      </c>
      <c r="C326" s="2"/>
      <c r="D326" s="874"/>
      <c r="E326" s="874"/>
      <c r="F326" s="874"/>
      <c r="G326" s="874"/>
      <c r="H326" s="874"/>
      <c r="N326" s="845" t="s">
        <v>4425</v>
      </c>
      <c r="O326" s="101" t="s">
        <v>1726</v>
      </c>
      <c r="P326" s="4109"/>
      <c r="Q326" s="4110"/>
      <c r="R326" s="847" t="s">
        <v>4412</v>
      </c>
    </row>
    <row r="327" spans="1:256" ht="11.65" customHeight="1">
      <c r="A327" s="40" t="s">
        <v>1836</v>
      </c>
      <c r="B327" s="44" t="s">
        <v>4421</v>
      </c>
      <c r="O327" s="128" t="s">
        <v>1836</v>
      </c>
      <c r="P327" s="175"/>
      <c r="Q327" s="418"/>
    </row>
    <row r="328" spans="1:256" ht="11.65" customHeight="1">
      <c r="A328" s="110" t="s">
        <v>1838</v>
      </c>
      <c r="B328" s="44" t="s">
        <v>4428</v>
      </c>
      <c r="O328" s="128" t="s">
        <v>1838</v>
      </c>
      <c r="P328" s="1669"/>
      <c r="Q328" s="675"/>
    </row>
    <row r="329" spans="1:256" ht="11.65" customHeight="1">
      <c r="A329" s="110" t="s">
        <v>697</v>
      </c>
      <c r="B329" s="44" t="s">
        <v>4429</v>
      </c>
      <c r="K329" s="231"/>
      <c r="M329" s="128" t="s">
        <v>697</v>
      </c>
      <c r="N329" s="4178" t="s">
        <v>1641</v>
      </c>
      <c r="O329" s="4179"/>
      <c r="P329" s="4180" t="s">
        <v>1641</v>
      </c>
      <c r="Q329" s="4181"/>
    </row>
    <row r="330" spans="1:256" ht="11.65" customHeight="1">
      <c r="A330" s="40" t="s">
        <v>1957</v>
      </c>
      <c r="B330" s="44" t="s">
        <v>4430</v>
      </c>
      <c r="O330" s="48" t="s">
        <v>1957</v>
      </c>
      <c r="P330" s="1337"/>
      <c r="Q330" s="1336"/>
    </row>
    <row r="331" spans="1:256" ht="11.65" customHeight="1">
      <c r="A331" s="110" t="s">
        <v>1609</v>
      </c>
      <c r="B331" s="44" t="s">
        <v>4431</v>
      </c>
      <c r="N331" s="128" t="s">
        <v>1609</v>
      </c>
      <c r="O331" s="4172" t="s">
        <v>2552</v>
      </c>
      <c r="P331" s="4173"/>
      <c r="Q331" s="4174"/>
    </row>
    <row r="332" spans="1:256" ht="11.65" customHeight="1">
      <c r="A332" s="110" t="s">
        <v>1610</v>
      </c>
      <c r="B332" s="67" t="s">
        <v>2164</v>
      </c>
      <c r="N332" s="128" t="s">
        <v>1610</v>
      </c>
      <c r="O332" s="4238" t="s">
        <v>2552</v>
      </c>
      <c r="P332" s="4239"/>
      <c r="Q332" s="4240"/>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4432</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3"/>
      <c r="Q338" s="4124"/>
    </row>
    <row r="339" spans="1:44" ht="14.1" customHeight="1">
      <c r="A339" s="2"/>
      <c r="B339" s="29" t="s">
        <v>4433</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4434</v>
      </c>
      <c r="C340" s="4"/>
      <c r="D340" s="4"/>
      <c r="E340" s="4"/>
      <c r="F340" s="4"/>
      <c r="G340" s="4"/>
      <c r="H340" s="874"/>
      <c r="I340" s="874"/>
      <c r="J340" s="874"/>
      <c r="K340" s="874"/>
      <c r="L340" s="874"/>
      <c r="M340" s="874"/>
      <c r="N340" s="395"/>
      <c r="O340" s="101"/>
      <c r="P340" s="372"/>
      <c r="Q340" s="417"/>
    </row>
    <row r="341" spans="1:44" ht="21.75" customHeight="1">
      <c r="A341" s="110" t="s">
        <v>1836</v>
      </c>
      <c r="B341" s="4103" t="s">
        <v>4577</v>
      </c>
      <c r="C341" s="4103"/>
      <c r="D341" s="4103"/>
      <c r="E341" s="4103"/>
      <c r="F341" s="4103"/>
      <c r="G341" s="4103"/>
      <c r="H341" s="4103"/>
      <c r="I341" s="4103"/>
      <c r="J341" s="4103"/>
      <c r="K341" s="4103"/>
      <c r="L341" s="4103"/>
      <c r="M341" s="4103"/>
      <c r="N341" s="4103"/>
      <c r="O341" s="128" t="s">
        <v>1836</v>
      </c>
      <c r="P341" s="1723"/>
      <c r="Q341" s="1724"/>
    </row>
    <row r="342" spans="1:44" s="35" customFormat="1" ht="12.75" customHeight="1">
      <c r="A342" s="40"/>
      <c r="B342" s="33" t="s">
        <v>1611</v>
      </c>
      <c r="C342" s="29" t="s">
        <v>4023</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3768</v>
      </c>
      <c r="G343" s="1456" t="e">
        <f>#REF!</f>
        <v>#REF!</v>
      </c>
      <c r="H343" s="72"/>
      <c r="I343" s="29" t="s">
        <v>831</v>
      </c>
      <c r="J343" s="72"/>
      <c r="K343" s="72"/>
      <c r="L343" s="1455" t="e">
        <f>#REF!</f>
        <v>#REF!</v>
      </c>
      <c r="M343" s="48" t="s">
        <v>4632</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3" t="s">
        <v>4578</v>
      </c>
      <c r="C344" s="4103"/>
      <c r="D344" s="4103"/>
      <c r="E344" s="4103"/>
      <c r="F344" s="4103"/>
      <c r="G344" s="4103"/>
      <c r="H344" s="4103"/>
      <c r="I344" s="4103"/>
      <c r="J344" s="4103"/>
      <c r="K344" s="4103"/>
      <c r="L344" s="4103"/>
      <c r="M344" s="4103"/>
      <c r="N344" s="4103"/>
      <c r="O344" s="128" t="s">
        <v>1838</v>
      </c>
      <c r="P344" s="892"/>
      <c r="Q344" s="893"/>
    </row>
    <row r="345" spans="1:44" s="115" customFormat="1">
      <c r="A345" s="110"/>
      <c r="B345" s="1161"/>
      <c r="C345" s="29" t="s">
        <v>1662</v>
      </c>
      <c r="D345" s="29"/>
      <c r="E345" s="1455" t="e">
        <f>#REF!</f>
        <v>#REF!</v>
      </c>
      <c r="F345" s="29" t="s">
        <v>4580</v>
      </c>
      <c r="H345" s="72"/>
      <c r="L345" s="1848"/>
      <c r="M345" s="48" t="s">
        <v>4632</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3" t="s">
        <v>4579</v>
      </c>
      <c r="C346" s="4103"/>
      <c r="D346" s="4103"/>
      <c r="E346" s="4103"/>
      <c r="F346" s="4103"/>
      <c r="G346" s="4103"/>
      <c r="H346" s="4103"/>
      <c r="I346" s="4103"/>
      <c r="J346" s="4103"/>
      <c r="K346" s="4103"/>
      <c r="L346" s="4103"/>
      <c r="M346" s="4103"/>
      <c r="N346" s="4103"/>
      <c r="O346" s="128" t="s">
        <v>697</v>
      </c>
      <c r="P346" s="1723"/>
      <c r="Q346" s="1724"/>
    </row>
    <row r="347" spans="1:44" ht="14.1" customHeight="1">
      <c r="A347" s="23"/>
      <c r="B347" s="369" t="s">
        <v>1611</v>
      </c>
      <c r="C347" s="44" t="s">
        <v>4435</v>
      </c>
      <c r="D347" s="10"/>
      <c r="E347" s="10"/>
      <c r="F347" s="10"/>
      <c r="G347" s="10"/>
      <c r="H347" s="1721"/>
      <c r="I347" s="1721"/>
      <c r="J347" s="1721"/>
      <c r="K347" s="1721"/>
      <c r="L347" s="1721"/>
      <c r="M347" s="1721"/>
      <c r="N347" s="1722"/>
      <c r="O347" s="48" t="s">
        <v>3925</v>
      </c>
      <c r="P347" s="1727"/>
      <c r="Q347" s="1728"/>
    </row>
    <row r="348" spans="1:44" s="115" customFormat="1">
      <c r="A348" s="110"/>
      <c r="B348" s="1161"/>
      <c r="C348" s="29" t="s">
        <v>1662</v>
      </c>
      <c r="D348" s="29"/>
      <c r="E348" s="1455" t="e">
        <f>#REF!</f>
        <v>#REF!</v>
      </c>
      <c r="F348" s="29" t="s">
        <v>3768</v>
      </c>
      <c r="G348" s="1456" t="e">
        <f>#REF!</f>
        <v>#REF!</v>
      </c>
      <c r="H348" s="72"/>
      <c r="I348" s="29" t="s">
        <v>831</v>
      </c>
      <c r="J348" s="72"/>
      <c r="K348" s="72"/>
      <c r="L348" s="1455" t="e">
        <f>#REF!</f>
        <v>#REF!</v>
      </c>
      <c r="M348" s="48" t="s">
        <v>4632</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9"/>
      <c r="Q354" s="4110"/>
    </row>
    <row r="355" spans="1:31" ht="10.5" customHeight="1">
      <c r="A355" s="40" t="s">
        <v>1836</v>
      </c>
      <c r="B355" s="29" t="s">
        <v>3269</v>
      </c>
      <c r="D355" s="118"/>
      <c r="E355" s="118"/>
      <c r="F355" s="118"/>
      <c r="G355" s="118"/>
      <c r="H355" s="48" t="s">
        <v>1836</v>
      </c>
      <c r="I355" s="4280"/>
      <c r="J355" s="4281"/>
      <c r="K355" s="4281"/>
      <c r="L355" s="4281"/>
      <c r="M355" s="4281"/>
      <c r="N355" s="4281"/>
      <c r="O355" s="4281"/>
      <c r="P355" s="4282"/>
      <c r="Q355" s="418"/>
    </row>
    <row r="356" spans="1:31" ht="10.5" customHeight="1">
      <c r="A356" s="110" t="s">
        <v>1838</v>
      </c>
      <c r="B356" s="29" t="s">
        <v>3270</v>
      </c>
      <c r="D356" s="118"/>
      <c r="E356" s="118"/>
      <c r="F356" s="118"/>
      <c r="G356" s="118"/>
      <c r="H356" s="128" t="s">
        <v>1838</v>
      </c>
      <c r="I356" s="4157"/>
      <c r="J356" s="4158"/>
      <c r="K356" s="4158"/>
      <c r="L356" s="4158"/>
      <c r="M356" s="4158"/>
      <c r="N356" s="4158"/>
      <c r="O356" s="4158"/>
      <c r="P356" s="4159"/>
      <c r="Q356" s="420"/>
    </row>
    <row r="357" spans="1:31" ht="21.75" customHeight="1">
      <c r="A357" s="110" t="s">
        <v>697</v>
      </c>
      <c r="B357" s="4125" t="s">
        <v>3261</v>
      </c>
      <c r="C357" s="4125"/>
      <c r="D357" s="4125"/>
      <c r="E357" s="4125"/>
      <c r="F357" s="4125"/>
      <c r="G357" s="4125"/>
      <c r="H357" s="4125"/>
      <c r="I357" s="4125"/>
      <c r="J357" s="4125"/>
      <c r="K357" s="4125"/>
      <c r="L357" s="4125"/>
      <c r="M357" s="4125"/>
      <c r="N357" s="4125"/>
      <c r="O357" s="128" t="s">
        <v>697</v>
      </c>
      <c r="P357" s="825"/>
      <c r="Q357" s="880"/>
    </row>
    <row r="358" spans="1:31" ht="21.75" customHeight="1">
      <c r="A358" s="110" t="s">
        <v>1957</v>
      </c>
      <c r="B358" s="4103" t="s">
        <v>3262</v>
      </c>
      <c r="C358" s="4103"/>
      <c r="D358" s="4103"/>
      <c r="E358" s="4103"/>
      <c r="F358" s="4103"/>
      <c r="G358" s="4103"/>
      <c r="H358" s="4103"/>
      <c r="I358" s="4103"/>
      <c r="J358" s="4103"/>
      <c r="K358" s="4103"/>
      <c r="L358" s="4103"/>
      <c r="M358" s="4103"/>
      <c r="N358" s="4103"/>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3" t="s">
        <v>3264</v>
      </c>
      <c r="C360" s="4103"/>
      <c r="D360" s="4103"/>
      <c r="E360" s="4103"/>
      <c r="F360" s="4103"/>
      <c r="G360" s="4103"/>
      <c r="H360" s="4103"/>
      <c r="I360" s="4103"/>
      <c r="J360" s="4103"/>
      <c r="K360" s="4103"/>
      <c r="L360" s="4103"/>
      <c r="M360" s="4103"/>
      <c r="N360" s="4103"/>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3745</v>
      </c>
      <c r="E362" s="874"/>
      <c r="F362" s="874"/>
      <c r="G362" s="874"/>
      <c r="H362" s="874"/>
      <c r="I362" s="874"/>
      <c r="J362" s="874"/>
      <c r="K362" s="874"/>
      <c r="L362" s="874"/>
      <c r="M362" s="874"/>
      <c r="N362" s="874"/>
      <c r="P362" s="883"/>
      <c r="Q362" s="882"/>
    </row>
    <row r="363" spans="1:31" ht="21.75" customHeight="1">
      <c r="A363" s="110" t="s">
        <v>2932</v>
      </c>
      <c r="B363" s="4103" t="s">
        <v>3266</v>
      </c>
      <c r="C363" s="4103"/>
      <c r="D363" s="4103"/>
      <c r="E363" s="4103"/>
      <c r="F363" s="4103"/>
      <c r="G363" s="4103"/>
      <c r="H363" s="4103"/>
      <c r="I363" s="4103"/>
      <c r="J363" s="4103"/>
      <c r="K363" s="4103"/>
      <c r="L363" s="4103"/>
      <c r="M363" s="4103"/>
      <c r="N363" s="4103"/>
      <c r="O363" s="128" t="s">
        <v>2932</v>
      </c>
      <c r="P363" s="881"/>
      <c r="Q363" s="880"/>
    </row>
    <row r="364" spans="1:31" ht="33" customHeight="1">
      <c r="A364" s="110" t="s">
        <v>572</v>
      </c>
      <c r="B364" s="4103" t="s">
        <v>3267</v>
      </c>
      <c r="C364" s="4103"/>
      <c r="D364" s="4103"/>
      <c r="E364" s="4103"/>
      <c r="F364" s="4103"/>
      <c r="G364" s="4103"/>
      <c r="H364" s="4103"/>
      <c r="I364" s="4103"/>
      <c r="J364" s="4103"/>
      <c r="K364" s="4103"/>
      <c r="L364" s="4103"/>
      <c r="M364" s="4103"/>
      <c r="N364" s="4103"/>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9"/>
      <c r="Q371" s="4110"/>
    </row>
    <row r="372" spans="1:31" ht="11.65" customHeight="1">
      <c r="A372" s="40" t="s">
        <v>1836</v>
      </c>
      <c r="B372" s="32" t="s">
        <v>969</v>
      </c>
      <c r="E372" s="4164"/>
      <c r="F372" s="4165"/>
      <c r="G372" s="4165"/>
      <c r="H372" s="4165"/>
      <c r="I372" s="4166"/>
      <c r="J372" s="4167" t="s">
        <v>2430</v>
      </c>
      <c r="K372" s="4168"/>
      <c r="L372" s="4169"/>
      <c r="M372" s="4164"/>
      <c r="N372" s="4165"/>
      <c r="O372" s="4165"/>
      <c r="P372" s="4165"/>
      <c r="Q372" s="4166"/>
    </row>
    <row r="373" spans="1:31" s="102" customFormat="1" ht="22.5" customHeight="1">
      <c r="A373" s="110" t="s">
        <v>1838</v>
      </c>
      <c r="B373" s="4103" t="s">
        <v>2997</v>
      </c>
      <c r="C373" s="4103"/>
      <c r="D373" s="4103"/>
      <c r="E373" s="4103"/>
      <c r="F373" s="4103"/>
      <c r="G373" s="4103"/>
      <c r="H373" s="4103"/>
      <c r="I373" s="4103"/>
      <c r="J373" s="4103"/>
      <c r="K373" s="4103"/>
      <c r="L373" s="4103"/>
      <c r="M373" s="4103"/>
      <c r="N373" s="4103"/>
      <c r="O373" s="128" t="s">
        <v>1838</v>
      </c>
      <c r="P373" s="430"/>
      <c r="Q373" s="421"/>
    </row>
    <row r="374" spans="1:31">
      <c r="A374" s="110" t="s">
        <v>697</v>
      </c>
      <c r="B374" s="44" t="s">
        <v>3116</v>
      </c>
      <c r="G374" s="876"/>
      <c r="H374" s="876"/>
      <c r="I374" s="876"/>
      <c r="J374" s="33" t="s">
        <v>3117</v>
      </c>
      <c r="L374" s="876"/>
      <c r="M374" s="4170" t="e">
        <f>#REF!</f>
        <v>#REF!</v>
      </c>
      <c r="N374" s="4171"/>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65" customHeight="1">
      <c r="A376" s="4117"/>
      <c r="B376" s="4118"/>
      <c r="C376" s="4118"/>
      <c r="D376" s="4118"/>
      <c r="E376" s="4118"/>
      <c r="F376" s="4118"/>
      <c r="G376" s="4118"/>
      <c r="H376" s="4118"/>
      <c r="I376" s="4118"/>
      <c r="J376" s="4118"/>
      <c r="K376" s="4118"/>
      <c r="L376" s="4118"/>
      <c r="M376" s="4118"/>
      <c r="N376" s="4118"/>
      <c r="O376" s="4118"/>
      <c r="P376" s="4118"/>
      <c r="Q376" s="411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4"/>
      <c r="B378" s="4115"/>
      <c r="C378" s="4115"/>
      <c r="D378" s="4115"/>
      <c r="E378" s="4115"/>
      <c r="F378" s="4115"/>
      <c r="G378" s="4115"/>
      <c r="H378" s="4115"/>
      <c r="I378" s="4115"/>
      <c r="J378" s="4115"/>
      <c r="K378" s="4115"/>
      <c r="L378" s="4115"/>
      <c r="M378" s="4115"/>
      <c r="N378" s="4115"/>
      <c r="O378" s="4115"/>
      <c r="P378" s="4115"/>
      <c r="Q378" s="4116"/>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09"/>
      <c r="Q380" s="4160"/>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3900</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120"/>
      <c r="I385" s="4121"/>
      <c r="J385" s="4121"/>
      <c r="K385" s="4121"/>
      <c r="L385" s="4121"/>
      <c r="M385" s="4121"/>
      <c r="N385" s="4121"/>
      <c r="O385" s="4122"/>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65" customHeight="1">
      <c r="A387" s="4117"/>
      <c r="B387" s="4118"/>
      <c r="C387" s="4118"/>
      <c r="D387" s="4118"/>
      <c r="E387" s="4118"/>
      <c r="F387" s="4118"/>
      <c r="G387" s="4118"/>
      <c r="H387" s="4118"/>
      <c r="I387" s="4118"/>
      <c r="J387" s="4118"/>
      <c r="K387" s="4118"/>
      <c r="L387" s="4118"/>
      <c r="M387" s="4118"/>
      <c r="N387" s="4118"/>
      <c r="O387" s="4118"/>
      <c r="P387" s="4118"/>
      <c r="Q387" s="411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4"/>
      <c r="B389" s="4115"/>
      <c r="C389" s="4115"/>
      <c r="D389" s="4115"/>
      <c r="E389" s="4115"/>
      <c r="F389" s="4115"/>
      <c r="G389" s="4115"/>
      <c r="H389" s="4115"/>
      <c r="I389" s="4115"/>
      <c r="J389" s="4115"/>
      <c r="K389" s="4115"/>
      <c r="L389" s="4115"/>
      <c r="M389" s="4115"/>
      <c r="N389" s="4115"/>
      <c r="O389" s="4115"/>
      <c r="P389" s="4115"/>
      <c r="Q389" s="411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3812</v>
      </c>
      <c r="C391" s="4"/>
      <c r="D391" s="4"/>
      <c r="E391" s="4"/>
      <c r="F391" s="4"/>
      <c r="G391" s="4"/>
      <c r="H391" s="874"/>
      <c r="I391" s="874"/>
      <c r="J391" s="874"/>
      <c r="K391" s="874"/>
      <c r="L391" s="874"/>
      <c r="M391" s="874"/>
      <c r="O391" s="101" t="s">
        <v>1726</v>
      </c>
      <c r="P391" s="4123"/>
      <c r="Q391" s="4124"/>
    </row>
    <row r="392" spans="1:31" ht="12" customHeight="1">
      <c r="B392" s="44" t="s">
        <v>4146</v>
      </c>
      <c r="O392" s="49"/>
      <c r="P392" s="372"/>
      <c r="Q392" s="417"/>
    </row>
    <row r="393" spans="1:31" ht="12" customHeight="1">
      <c r="A393" s="40" t="s">
        <v>1836</v>
      </c>
      <c r="B393" s="66" t="s">
        <v>3811</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3901</v>
      </c>
      <c r="D395" s="44" t="s">
        <v>3902</v>
      </c>
      <c r="E395" s="35"/>
      <c r="F395" s="35"/>
      <c r="G395" s="35"/>
      <c r="H395" s="35"/>
      <c r="I395" s="35"/>
      <c r="J395" s="35"/>
      <c r="K395" s="35"/>
      <c r="L395" s="35"/>
      <c r="M395" s="35"/>
      <c r="N395" s="35"/>
      <c r="O395" s="48" t="s">
        <v>3901</v>
      </c>
      <c r="P395" s="4203"/>
      <c r="Q395" s="4201"/>
    </row>
    <row r="396" spans="1:31" ht="12" customHeight="1">
      <c r="A396" s="40"/>
      <c r="D396" s="29" t="s">
        <v>4396</v>
      </c>
      <c r="E396" s="29"/>
      <c r="F396" s="29"/>
      <c r="G396" s="29"/>
      <c r="H396" s="29"/>
      <c r="I396" s="29"/>
      <c r="J396" s="29"/>
      <c r="K396" s="29"/>
      <c r="L396" s="29"/>
      <c r="M396" s="29"/>
      <c r="N396" s="35"/>
      <c r="O396" s="1335"/>
      <c r="P396" s="4204"/>
      <c r="Q396" s="4202"/>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3815</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3" t="s">
        <v>4049</v>
      </c>
      <c r="D400" s="4103"/>
      <c r="E400" s="4103"/>
      <c r="F400" s="4103"/>
      <c r="G400" s="29" t="s">
        <v>3816</v>
      </c>
      <c r="J400" s="705"/>
      <c r="K400" s="425"/>
      <c r="M400" s="29" t="s">
        <v>4120</v>
      </c>
      <c r="P400" s="1670"/>
      <c r="Q400" s="1671"/>
    </row>
    <row r="401" spans="1:44" ht="12" customHeight="1">
      <c r="A401" s="40"/>
      <c r="C401" s="4103"/>
      <c r="D401" s="4103"/>
      <c r="E401" s="4103"/>
      <c r="F401" s="4103"/>
      <c r="G401" s="29" t="s">
        <v>4119</v>
      </c>
      <c r="J401" s="706"/>
      <c r="K401" s="426"/>
      <c r="M401" s="29" t="s">
        <v>4121</v>
      </c>
      <c r="P401" s="706"/>
      <c r="Q401" s="426"/>
    </row>
    <row r="402" spans="1:44" ht="8.25" customHeight="1">
      <c r="A402" s="40"/>
      <c r="C402" s="4103"/>
      <c r="D402" s="4103"/>
      <c r="E402" s="4103"/>
      <c r="F402" s="4103"/>
      <c r="J402" s="1448"/>
      <c r="L402" s="33"/>
      <c r="M402" s="35"/>
      <c r="N402" s="48"/>
    </row>
    <row r="403" spans="1:44" s="72" customFormat="1" ht="12.75" customHeight="1">
      <c r="A403" s="107"/>
      <c r="B403" s="153"/>
      <c r="D403" s="879"/>
      <c r="E403" s="879"/>
      <c r="F403" s="879"/>
      <c r="G403" s="879"/>
      <c r="H403" s="879"/>
      <c r="I403" s="4111" t="s">
        <v>4076</v>
      </c>
      <c r="J403" s="4111" t="s">
        <v>4077</v>
      </c>
      <c r="K403" s="4111" t="s">
        <v>4079</v>
      </c>
      <c r="L403" s="4111"/>
      <c r="M403" s="4111"/>
      <c r="N403" s="4150" t="s">
        <v>4078</v>
      </c>
      <c r="O403" s="48"/>
      <c r="P403" s="4274" t="s">
        <v>4589</v>
      </c>
      <c r="Q403" s="427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3"/>
      <c r="J404" s="4111"/>
      <c r="K404" s="4111"/>
      <c r="L404" s="4111"/>
      <c r="M404" s="4111"/>
      <c r="N404" s="4151"/>
      <c r="O404" s="48"/>
      <c r="P404" s="4275"/>
      <c r="Q404" s="427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3" t="s">
        <v>4190</v>
      </c>
      <c r="D405" s="4103"/>
      <c r="E405" s="4103"/>
      <c r="F405" s="4103"/>
      <c r="G405" s="4103"/>
      <c r="H405" s="4103"/>
      <c r="I405" s="364">
        <f>K290</f>
        <v>0</v>
      </c>
      <c r="J405" s="1672"/>
      <c r="K405" s="4112"/>
      <c r="L405" s="4112"/>
      <c r="M405" s="411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3"/>
      <c r="D406" s="4103"/>
      <c r="E406" s="4103"/>
      <c r="F406" s="4103"/>
      <c r="G406" s="4103"/>
      <c r="H406" s="4103"/>
      <c r="I406" s="248"/>
      <c r="J406" s="1673"/>
      <c r="K406" s="4152"/>
      <c r="L406" s="4152"/>
      <c r="M406" s="41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4080</v>
      </c>
      <c r="E408" s="108"/>
      <c r="F408" s="108"/>
      <c r="G408" s="108"/>
      <c r="H408" s="108"/>
      <c r="I408" s="364">
        <f>K291</f>
        <v>0</v>
      </c>
      <c r="J408" s="1672"/>
      <c r="K408" s="4112"/>
      <c r="L408" s="4112"/>
      <c r="M408" s="411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2"/>
      <c r="L409" s="4152"/>
      <c r="M409" s="41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3" t="s">
        <v>4191</v>
      </c>
      <c r="D411" s="4103"/>
      <c r="E411" s="4103"/>
      <c r="F411" s="4103"/>
      <c r="G411" s="4103"/>
      <c r="H411" s="4103"/>
      <c r="I411" s="364">
        <f>K293</f>
        <v>0</v>
      </c>
      <c r="J411" s="1672"/>
      <c r="K411" s="4112"/>
      <c r="L411" s="4112"/>
      <c r="M411" s="411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3"/>
      <c r="D412" s="4103"/>
      <c r="E412" s="4103"/>
      <c r="F412" s="4103"/>
      <c r="G412" s="4103"/>
      <c r="H412" s="4103"/>
      <c r="J412" s="1673"/>
      <c r="K412" s="4152"/>
      <c r="L412" s="4152"/>
      <c r="M412" s="41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3709</v>
      </c>
      <c r="E414" s="33"/>
      <c r="F414" s="33"/>
      <c r="G414" s="33"/>
      <c r="J414" s="35"/>
      <c r="K414" s="33"/>
      <c r="L414" s="33"/>
      <c r="M414" s="35"/>
      <c r="N414" s="48"/>
      <c r="P414" s="48"/>
      <c r="Q414" s="48"/>
    </row>
    <row r="415" spans="1:44" ht="12" customHeight="1">
      <c r="A415" s="40"/>
      <c r="B415" s="44"/>
      <c r="C415" s="33" t="s">
        <v>4123</v>
      </c>
      <c r="D415" s="115"/>
      <c r="E415" s="33"/>
      <c r="F415" s="33"/>
      <c r="L415" s="33"/>
      <c r="M415" s="33"/>
      <c r="O415" s="48" t="s">
        <v>2234</v>
      </c>
      <c r="P415" s="372" t="s">
        <v>1641</v>
      </c>
      <c r="Q415" s="417" t="s">
        <v>1641</v>
      </c>
    </row>
    <row r="416" spans="1:44" ht="12" customHeight="1">
      <c r="A416" s="35"/>
      <c r="B416" s="115"/>
      <c r="D416" s="4108" t="s">
        <v>4124</v>
      </c>
      <c r="E416" s="351" t="s">
        <v>2257</v>
      </c>
      <c r="F416" s="44" t="s">
        <v>3202</v>
      </c>
      <c r="G416" s="4104"/>
      <c r="H416" s="4105"/>
      <c r="I416" s="4105"/>
      <c r="J416" s="4105"/>
      <c r="K416" s="4106"/>
      <c r="L416" s="351"/>
    </row>
    <row r="417" spans="1:31" ht="12" customHeight="1">
      <c r="B417" s="115"/>
      <c r="D417" s="4108"/>
      <c r="E417" s="351" t="s">
        <v>3813</v>
      </c>
      <c r="F417" s="44" t="s">
        <v>3814</v>
      </c>
      <c r="G417" s="4161" t="s">
        <v>3119</v>
      </c>
      <c r="H417" s="4162"/>
      <c r="I417" s="4163"/>
      <c r="J417" s="44" t="s">
        <v>3676</v>
      </c>
      <c r="K417" s="115"/>
      <c r="M417" s="4104"/>
      <c r="N417" s="4105"/>
      <c r="O417" s="4105"/>
      <c r="P417" s="4105"/>
      <c r="Q417" s="4106"/>
    </row>
    <row r="418" spans="1:31" ht="12" customHeight="1">
      <c r="A418" s="35"/>
      <c r="B418" s="115"/>
      <c r="C418" s="44" t="s">
        <v>4122</v>
      </c>
      <c r="D418" s="115"/>
      <c r="E418" s="33"/>
      <c r="F418" s="33"/>
      <c r="G418" s="33"/>
      <c r="H418" s="33"/>
      <c r="I418" s="33"/>
      <c r="J418" s="33"/>
      <c r="K418" s="33"/>
      <c r="L418" s="33"/>
      <c r="M418" s="33"/>
      <c r="N418" s="33"/>
      <c r="O418" s="33"/>
      <c r="P418" s="33"/>
      <c r="Q418" s="33"/>
    </row>
    <row r="419" spans="1:31" ht="44.65" customHeight="1">
      <c r="B419" s="4154"/>
      <c r="C419" s="4155"/>
      <c r="D419" s="4155"/>
      <c r="E419" s="4155"/>
      <c r="F419" s="4155"/>
      <c r="G419" s="4155"/>
      <c r="H419" s="4155"/>
      <c r="I419" s="4155"/>
      <c r="J419" s="4155"/>
      <c r="K419" s="4155"/>
      <c r="L419" s="4155"/>
      <c r="M419" s="4155"/>
      <c r="N419" s="4155"/>
      <c r="O419" s="4155"/>
      <c r="P419" s="4155"/>
      <c r="Q419" s="4156"/>
      <c r="R419" s="353" t="s">
        <v>3675</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7" t="s">
        <v>3903</v>
      </c>
      <c r="C421" s="4103"/>
      <c r="D421" s="4103"/>
      <c r="E421" s="4103"/>
      <c r="F421" s="4103"/>
      <c r="G421" s="4103"/>
      <c r="H421" s="4103"/>
      <c r="I421" s="4103"/>
      <c r="J421" s="4103"/>
      <c r="K421" s="4103"/>
      <c r="L421" s="4103"/>
      <c r="M421" s="4103"/>
      <c r="N421" s="4103"/>
    </row>
    <row r="422" spans="1:31" s="115" customFormat="1" ht="45" customHeight="1">
      <c r="B422" s="4103" t="s">
        <v>4436</v>
      </c>
      <c r="C422" s="4103"/>
      <c r="D422" s="4103"/>
      <c r="E422" s="4103"/>
      <c r="F422" s="4103"/>
      <c r="G422" s="4103"/>
      <c r="H422" s="4103"/>
      <c r="I422" s="4103"/>
      <c r="J422" s="4103"/>
      <c r="K422" s="4103"/>
      <c r="L422" s="4103"/>
      <c r="M422" s="4103"/>
      <c r="N422" s="4103"/>
      <c r="O422" s="128" t="s">
        <v>1838</v>
      </c>
      <c r="P422" s="892"/>
      <c r="Q422" s="893"/>
    </row>
    <row r="423" spans="1:31" ht="12" customHeight="1">
      <c r="B423" s="109" t="s">
        <v>3154</v>
      </c>
      <c r="D423" s="109"/>
      <c r="E423" s="109"/>
      <c r="F423" s="109"/>
      <c r="G423" s="109"/>
      <c r="H423" s="33"/>
      <c r="I423" s="878"/>
      <c r="J423" s="878"/>
      <c r="K423" s="878"/>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09"/>
      <c r="Q428" s="4110"/>
    </row>
    <row r="429" spans="1:31" ht="14.1" customHeight="1">
      <c r="B429" s="66" t="s">
        <v>3771</v>
      </c>
      <c r="C429" s="4"/>
      <c r="D429" s="66"/>
      <c r="E429" s="874"/>
      <c r="F429" s="874"/>
      <c r="G429" s="874"/>
      <c r="H429" s="874"/>
    </row>
    <row r="430" spans="1:31" s="102" customFormat="1" ht="21.75" customHeight="1">
      <c r="A430" s="110" t="s">
        <v>1836</v>
      </c>
      <c r="B430" s="4103" t="s">
        <v>3225</v>
      </c>
      <c r="C430" s="4103"/>
      <c r="D430" s="4103"/>
      <c r="E430" s="4103"/>
      <c r="F430" s="4103"/>
      <c r="G430" s="4103"/>
      <c r="H430" s="4103"/>
      <c r="I430" s="4103"/>
      <c r="J430" s="4103"/>
      <c r="K430" s="4103"/>
      <c r="L430" s="4103"/>
      <c r="M430" s="4103"/>
      <c r="N430" s="4103"/>
      <c r="O430" s="128" t="s">
        <v>1836</v>
      </c>
      <c r="P430" s="881"/>
      <c r="Q430" s="880"/>
    </row>
    <row r="431" spans="1:31" s="102" customFormat="1" ht="22.5" customHeight="1">
      <c r="A431" s="110" t="s">
        <v>1838</v>
      </c>
      <c r="B431" s="4103" t="s">
        <v>3224</v>
      </c>
      <c r="C431" s="4103"/>
      <c r="D431" s="4103"/>
      <c r="E431" s="4103"/>
      <c r="F431" s="4103"/>
      <c r="G431" s="4103"/>
      <c r="H431" s="4103"/>
      <c r="I431" s="4103"/>
      <c r="J431" s="4103"/>
      <c r="K431" s="4103"/>
      <c r="L431" s="4103"/>
      <c r="M431" s="4103"/>
      <c r="N431" s="4103"/>
      <c r="O431" s="128" t="s">
        <v>1838</v>
      </c>
      <c r="P431" s="430"/>
      <c r="Q431" s="421"/>
    </row>
    <row r="432" spans="1:31" s="102" customFormat="1" ht="22.5" customHeight="1">
      <c r="B432" s="1161" t="s">
        <v>1611</v>
      </c>
      <c r="C432" s="4103" t="s">
        <v>3741</v>
      </c>
      <c r="D432" s="4103"/>
      <c r="E432" s="4103"/>
      <c r="F432" s="4103"/>
      <c r="G432" s="4103"/>
      <c r="H432" s="4103"/>
      <c r="I432" s="4103"/>
      <c r="J432" s="4103"/>
      <c r="K432" s="4103"/>
      <c r="L432" s="4103"/>
      <c r="M432" s="4103"/>
      <c r="N432" s="4103"/>
      <c r="O432" s="128" t="s">
        <v>1611</v>
      </c>
      <c r="P432" s="430"/>
      <c r="Q432" s="421"/>
    </row>
    <row r="433" spans="1:31" s="35" customFormat="1" ht="12" customHeight="1">
      <c r="B433" s="1161" t="s">
        <v>1612</v>
      </c>
      <c r="C433" s="29" t="s">
        <v>3742</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3" t="s">
        <v>3743</v>
      </c>
      <c r="D434" s="4103"/>
      <c r="E434" s="4103"/>
      <c r="F434" s="4103"/>
      <c r="G434" s="4103"/>
      <c r="H434" s="4103"/>
      <c r="I434" s="4103"/>
      <c r="J434" s="4103"/>
      <c r="K434" s="4103"/>
      <c r="L434" s="4103"/>
      <c r="M434" s="4103"/>
      <c r="N434" s="4103"/>
      <c r="O434" s="128" t="s">
        <v>1613</v>
      </c>
      <c r="P434" s="430"/>
      <c r="Q434" s="421"/>
    </row>
    <row r="435" spans="1:31" s="102" customFormat="1" ht="22.5" customHeight="1">
      <c r="B435" s="371" t="s">
        <v>2176</v>
      </c>
      <c r="C435" s="4103" t="s">
        <v>3744</v>
      </c>
      <c r="D435" s="4103"/>
      <c r="E435" s="4103"/>
      <c r="F435" s="4103"/>
      <c r="G435" s="4103"/>
      <c r="H435" s="4103"/>
      <c r="I435" s="4103"/>
      <c r="J435" s="4103"/>
      <c r="K435" s="4103"/>
      <c r="L435" s="4103"/>
      <c r="M435" s="4103"/>
      <c r="N435" s="4103"/>
      <c r="O435" s="128" t="s">
        <v>2176</v>
      </c>
      <c r="P435" s="430"/>
      <c r="Q435" s="421"/>
    </row>
    <row r="436" spans="1:31" s="102" customFormat="1" ht="22.5" customHeight="1">
      <c r="A436" s="110" t="s">
        <v>697</v>
      </c>
      <c r="B436" s="4103" t="s">
        <v>3226</v>
      </c>
      <c r="C436" s="4103"/>
      <c r="D436" s="4103"/>
      <c r="E436" s="4103"/>
      <c r="F436" s="4103"/>
      <c r="G436" s="4103"/>
      <c r="H436" s="4103"/>
      <c r="I436" s="4103"/>
      <c r="J436" s="4103"/>
      <c r="K436" s="4103"/>
      <c r="L436" s="4103"/>
      <c r="M436" s="4103"/>
      <c r="N436" s="4103"/>
      <c r="O436" s="128" t="s">
        <v>697</v>
      </c>
      <c r="P436" s="430"/>
      <c r="Q436" s="421"/>
    </row>
    <row r="437" spans="1:31" s="102" customFormat="1" ht="22.5" customHeight="1">
      <c r="A437" s="110" t="s">
        <v>1957</v>
      </c>
      <c r="B437" s="4103" t="s">
        <v>3791</v>
      </c>
      <c r="C437" s="4103"/>
      <c r="D437" s="4103"/>
      <c r="E437" s="4103"/>
      <c r="F437" s="4103"/>
      <c r="G437" s="4103"/>
      <c r="H437" s="4103"/>
      <c r="I437" s="4103"/>
      <c r="J437" s="4103"/>
      <c r="K437" s="4103"/>
      <c r="L437" s="4103"/>
      <c r="M437" s="4103"/>
      <c r="N437" s="4103"/>
      <c r="O437" s="128" t="s">
        <v>1957</v>
      </c>
      <c r="P437" s="430"/>
      <c r="Q437" s="421"/>
    </row>
    <row r="438" spans="1:31" s="102" customFormat="1" ht="21.75" customHeight="1">
      <c r="A438" s="110" t="s">
        <v>1609</v>
      </c>
      <c r="B438" s="4103" t="s">
        <v>3792</v>
      </c>
      <c r="C438" s="4103"/>
      <c r="D438" s="4103"/>
      <c r="E438" s="4103"/>
      <c r="F438" s="4103"/>
      <c r="G438" s="4103"/>
      <c r="H438" s="4103"/>
      <c r="I438" s="4103"/>
      <c r="J438" s="4103"/>
      <c r="K438" s="4103"/>
      <c r="L438" s="4103"/>
      <c r="M438" s="4103"/>
      <c r="N438" s="4103"/>
      <c r="O438" s="128" t="s">
        <v>1609</v>
      </c>
      <c r="P438" s="430"/>
      <c r="Q438" s="421"/>
    </row>
    <row r="439" spans="1:31" s="333" customFormat="1" ht="21.75" customHeight="1">
      <c r="A439" s="110" t="s">
        <v>1610</v>
      </c>
      <c r="B439" s="4103" t="s">
        <v>3825</v>
      </c>
      <c r="C439" s="4103"/>
      <c r="D439" s="4103"/>
      <c r="E439" s="4103"/>
      <c r="F439" s="4103"/>
      <c r="G439" s="4103"/>
      <c r="H439" s="4103"/>
      <c r="I439" s="4103"/>
      <c r="J439" s="4103"/>
      <c r="K439" s="4103"/>
      <c r="L439" s="4103"/>
      <c r="M439" s="4103"/>
      <c r="N439" s="4103"/>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3677</v>
      </c>
      <c r="B445" s="4"/>
      <c r="C445" s="4" t="s">
        <v>2429</v>
      </c>
      <c r="D445" s="66"/>
      <c r="E445" s="874"/>
      <c r="F445" s="874"/>
      <c r="G445" s="874"/>
      <c r="H445" s="874"/>
      <c r="J445" s="874"/>
      <c r="K445" s="874"/>
      <c r="L445" s="874"/>
      <c r="M445" s="874"/>
      <c r="O445" s="101" t="s">
        <v>1726</v>
      </c>
      <c r="P445" s="4109"/>
      <c r="Q445" s="4110"/>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3914</v>
      </c>
      <c r="P456" s="1786"/>
      <c r="R456" s="44"/>
    </row>
    <row r="457" spans="1:18" s="794" customFormat="1" ht="11.25">
      <c r="A457" s="44"/>
      <c r="B457" s="44"/>
      <c r="C457" s="1787" t="s">
        <v>1310</v>
      </c>
      <c r="J457" s="1785" t="s">
        <v>1948</v>
      </c>
      <c r="N457" s="795"/>
      <c r="O457" s="1785" t="s">
        <v>3915</v>
      </c>
      <c r="P457" s="1786"/>
      <c r="R457" s="44"/>
    </row>
    <row r="458" spans="1:18" s="794" customFormat="1" ht="11.25">
      <c r="A458" s="44"/>
      <c r="B458" s="44"/>
      <c r="C458" s="1787" t="s">
        <v>1311</v>
      </c>
      <c r="J458" s="1785" t="s">
        <v>1535</v>
      </c>
      <c r="N458" s="795"/>
      <c r="O458" s="1785" t="s">
        <v>3916</v>
      </c>
      <c r="P458" s="1786"/>
      <c r="R458" s="44"/>
    </row>
    <row r="459" spans="1:18" s="794" customFormat="1" ht="11.25">
      <c r="A459" s="44"/>
      <c r="B459" s="44"/>
      <c r="C459" s="1787" t="s">
        <v>1975</v>
      </c>
      <c r="J459" s="1785" t="s">
        <v>1119</v>
      </c>
      <c r="N459" s="795"/>
      <c r="O459" s="1785" t="s">
        <v>3920</v>
      </c>
      <c r="P459" s="1786"/>
      <c r="R459" s="44"/>
    </row>
    <row r="460" spans="1:18" s="794" customFormat="1" ht="11.25">
      <c r="A460" s="44"/>
      <c r="B460" s="44"/>
      <c r="C460" s="1787" t="s">
        <v>1307</v>
      </c>
      <c r="J460" s="1785" t="s">
        <v>548</v>
      </c>
      <c r="N460" s="795"/>
      <c r="O460" s="1785" t="s">
        <v>3917</v>
      </c>
      <c r="P460" s="1786"/>
      <c r="R460" s="44"/>
    </row>
    <row r="461" spans="1:18" s="794" customFormat="1" ht="11.25">
      <c r="A461" s="44"/>
      <c r="B461" s="44"/>
      <c r="C461" s="1787" t="s">
        <v>1308</v>
      </c>
      <c r="J461" s="1785" t="s">
        <v>1541</v>
      </c>
      <c r="N461" s="795"/>
      <c r="O461" s="1785" t="s">
        <v>3918</v>
      </c>
      <c r="P461" s="1786"/>
      <c r="R461" s="44"/>
    </row>
    <row r="462" spans="1:18" s="794" customFormat="1" ht="11.25">
      <c r="A462" s="44"/>
      <c r="B462" s="44"/>
      <c r="C462" s="1787" t="s">
        <v>1970</v>
      </c>
      <c r="J462" s="1785" t="s">
        <v>1116</v>
      </c>
      <c r="N462" s="795"/>
      <c r="O462" s="1785" t="s">
        <v>3919</v>
      </c>
      <c r="P462" s="1786"/>
      <c r="R462" s="44"/>
    </row>
    <row r="463" spans="1:18" s="794" customFormat="1" ht="11.25">
      <c r="A463" s="44"/>
      <c r="B463" s="44"/>
      <c r="C463" s="1787" t="s">
        <v>1971</v>
      </c>
      <c r="J463" s="1785" t="s">
        <v>1115</v>
      </c>
      <c r="N463" s="795"/>
      <c r="O463" s="794" t="s">
        <v>3192</v>
      </c>
      <c r="P463" s="1786"/>
      <c r="R463" s="44"/>
    </row>
    <row r="464" spans="1:18" s="794" customFormat="1" ht="11.25">
      <c r="A464" s="44"/>
      <c r="B464" s="44"/>
      <c r="C464" s="1787" t="s">
        <v>1972</v>
      </c>
      <c r="J464" s="1785" t="s">
        <v>1601</v>
      </c>
      <c r="N464" s="795"/>
      <c r="O464" s="794" t="s">
        <v>3193</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3163</v>
      </c>
      <c r="R490" s="44"/>
    </row>
    <row r="491" spans="1:18" s="794" customFormat="1" ht="11.25">
      <c r="A491" s="44"/>
      <c r="B491" s="44"/>
      <c r="C491" s="1787" t="s">
        <v>1129</v>
      </c>
      <c r="K491" s="794" t="s">
        <v>4097</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4200</v>
      </c>
      <c r="R495" s="44"/>
    </row>
    <row r="496" spans="1:18" s="794" customFormat="1" ht="11.25">
      <c r="A496" s="44"/>
      <c r="B496" s="44"/>
      <c r="C496" s="794" t="s">
        <v>1427</v>
      </c>
      <c r="K496" s="794" t="s">
        <v>4199</v>
      </c>
      <c r="R496" s="44"/>
    </row>
    <row r="497" spans="1:18" s="794" customFormat="1" ht="11.25">
      <c r="A497" s="44"/>
      <c r="B497" s="44"/>
      <c r="C497" s="794" t="s">
        <v>1960</v>
      </c>
      <c r="K497" s="794" t="s">
        <v>4098</v>
      </c>
      <c r="R497" s="44"/>
    </row>
    <row r="498" spans="1:18" s="794" customFormat="1" ht="11.25">
      <c r="A498" s="44"/>
      <c r="B498" s="44"/>
      <c r="C498" s="794" t="s">
        <v>162</v>
      </c>
      <c r="K498" s="794" t="s">
        <v>4201</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3726</v>
      </c>
      <c r="R506" s="44"/>
    </row>
    <row r="507" spans="1:18" s="794" customFormat="1" ht="11.25">
      <c r="A507" s="44"/>
      <c r="B507" s="44"/>
      <c r="C507" s="794" t="s">
        <v>949</v>
      </c>
      <c r="M507" s="794" t="s">
        <v>949</v>
      </c>
      <c r="R507" s="44"/>
    </row>
    <row r="508" spans="1:18" s="794" customFormat="1" ht="11.25">
      <c r="A508" s="44"/>
      <c r="B508" s="44"/>
      <c r="C508" s="794" t="s">
        <v>1933</v>
      </c>
      <c r="M508" s="794" t="s">
        <v>3723</v>
      </c>
      <c r="R508" s="44"/>
    </row>
    <row r="509" spans="1:18" s="794" customFormat="1" ht="11.25">
      <c r="A509" s="44"/>
      <c r="B509" s="44"/>
      <c r="C509" s="794" t="s">
        <v>2335</v>
      </c>
      <c r="M509" s="794" t="s">
        <v>3754</v>
      </c>
      <c r="R509" s="44"/>
    </row>
    <row r="510" spans="1:18" s="794" customFormat="1" ht="11.25">
      <c r="A510" s="44"/>
      <c r="B510" s="44"/>
      <c r="C510" s="794" t="s">
        <v>1934</v>
      </c>
      <c r="M510" s="794" t="s">
        <v>1538</v>
      </c>
      <c r="R510" s="44"/>
    </row>
    <row r="511" spans="1:18" s="794" customFormat="1" ht="11.25">
      <c r="A511" s="44"/>
      <c r="B511" s="44"/>
      <c r="C511" s="794" t="s">
        <v>1805</v>
      </c>
      <c r="M511" s="794" t="s">
        <v>3724</v>
      </c>
      <c r="R511" s="44"/>
    </row>
    <row r="512" spans="1:18" s="794" customFormat="1" ht="11.25">
      <c r="A512" s="44"/>
      <c r="B512" s="44"/>
      <c r="C512" s="794" t="s">
        <v>547</v>
      </c>
      <c r="M512" s="794" t="s">
        <v>3773</v>
      </c>
      <c r="R512" s="44"/>
    </row>
    <row r="513" spans="1:18" s="794" customFormat="1" ht="11.25">
      <c r="A513" s="44"/>
      <c r="B513" s="44"/>
      <c r="C513" s="794" t="s">
        <v>2030</v>
      </c>
      <c r="M513" s="794" t="s">
        <v>3774</v>
      </c>
      <c r="R513" s="44"/>
    </row>
    <row r="514" spans="1:18" s="794" customFormat="1" ht="11.25">
      <c r="A514" s="44"/>
      <c r="B514" s="44"/>
      <c r="C514" s="794" t="s">
        <v>30</v>
      </c>
      <c r="M514" s="794" t="s">
        <v>3725</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4420</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7" t="s">
        <v>4417</v>
      </c>
      <c r="B2" s="4307"/>
      <c r="C2" s="147"/>
      <c r="D2" s="782">
        <v>2021</v>
      </c>
      <c r="E2" s="144"/>
      <c r="F2" s="4301" t="s">
        <v>2927</v>
      </c>
      <c r="G2" s="4302"/>
      <c r="H2" s="4302"/>
      <c r="I2" s="4302"/>
      <c r="J2" s="4303"/>
      <c r="K2" s="234"/>
      <c r="L2" s="442" t="s">
        <v>3056</v>
      </c>
      <c r="M2" s="234"/>
      <c r="N2" s="4301" t="s">
        <v>2927</v>
      </c>
      <c r="O2" s="4302"/>
      <c r="P2" s="4302"/>
      <c r="Q2" s="4302"/>
      <c r="R2" s="4303"/>
      <c r="S2" s="241"/>
      <c r="T2" s="144"/>
      <c r="U2" s="144"/>
      <c r="V2" s="321"/>
      <c r="W2" s="321"/>
      <c r="X2" s="321"/>
      <c r="AA2" s="68"/>
      <c r="AB2" s="68"/>
    </row>
    <row r="3" spans="1:28" s="145" customFormat="1" ht="11.65" customHeight="1">
      <c r="A3" s="4307"/>
      <c r="B3" s="4307"/>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07"/>
      <c r="B4" s="4307"/>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4418</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9"/>
      <c r="Q44" s="4110"/>
    </row>
    <row r="45" spans="1:295" s="28" customFormat="1" ht="11.25" customHeight="1">
      <c r="A45" s="4317"/>
      <c r="B45" s="4317"/>
      <c r="C45" s="4317"/>
      <c r="D45" s="4317"/>
      <c r="E45" s="4317"/>
      <c r="F45" s="1186"/>
      <c r="G45" s="4330" t="s">
        <v>2458</v>
      </c>
      <c r="H45" s="4331"/>
      <c r="I45" s="66"/>
      <c r="J45" s="35"/>
      <c r="K45" s="4332" t="s">
        <v>3079</v>
      </c>
      <c r="L45" s="4333"/>
      <c r="M45" s="4333"/>
      <c r="N45" s="4334"/>
    </row>
    <row r="46" spans="1:295" s="28" customFormat="1" ht="11.25" customHeight="1">
      <c r="A46" s="4317"/>
      <c r="B46" s="4317"/>
      <c r="C46" s="4317"/>
      <c r="D46" s="4317"/>
      <c r="E46" s="4317"/>
      <c r="F46" s="1186"/>
      <c r="G46" s="4335" t="s">
        <v>333</v>
      </c>
      <c r="H46" s="4336"/>
      <c r="I46" s="66"/>
      <c r="J46" s="35"/>
      <c r="K46" s="4310" t="s">
        <v>3080</v>
      </c>
      <c r="L46" s="4311"/>
      <c r="M46" s="4311"/>
      <c r="N46" s="4312"/>
      <c r="P46" s="404" t="s">
        <v>2467</v>
      </c>
      <c r="Q46" s="74"/>
    </row>
    <row r="47" spans="1:295" s="28" customFormat="1" ht="4.5" customHeight="1">
      <c r="A47" s="1186"/>
      <c r="B47" s="1186"/>
      <c r="C47" s="1186"/>
      <c r="D47" s="1186"/>
      <c r="E47" s="1186"/>
      <c r="F47" s="1186"/>
      <c r="G47" s="66"/>
      <c r="H47" s="66"/>
      <c r="I47" s="66"/>
      <c r="J47" s="35"/>
      <c r="K47" s="4168"/>
      <c r="L47" s="4168"/>
      <c r="M47" s="4168"/>
      <c r="N47" s="4168"/>
      <c r="P47" s="4315" t="s">
        <v>3809</v>
      </c>
      <c r="Q47" s="4315"/>
    </row>
    <row r="48" spans="1:295" s="62" customFormat="1" ht="10.5" customHeight="1">
      <c r="D48" s="490" t="s">
        <v>2457</v>
      </c>
      <c r="E48" s="28"/>
      <c r="F48" s="491" t="s">
        <v>2983</v>
      </c>
      <c r="G48" s="4305" t="s">
        <v>3767</v>
      </c>
      <c r="H48" s="4305"/>
      <c r="I48" s="4305"/>
      <c r="J48" s="28"/>
      <c r="K48" s="491" t="s">
        <v>2983</v>
      </c>
      <c r="L48" s="4305" t="s">
        <v>3766</v>
      </c>
      <c r="M48" s="4305"/>
      <c r="N48" s="4305"/>
      <c r="O48" s="28"/>
      <c r="P48" s="4315"/>
      <c r="Q48" s="431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9" t="s">
        <v>2926</v>
      </c>
      <c r="B49" s="4309"/>
      <c r="C49" s="430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6"/>
      <c r="Q49" s="431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9"/>
      <c r="B50" s="4309"/>
      <c r="C50" s="430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2" t="e">
        <f>IF(#REF!="","",VLOOKUP(#REF!,#REF!,8,FALSE))</f>
        <v>#REF!</v>
      </c>
      <c r="Q50" s="432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9"/>
      <c r="B51" s="4309"/>
      <c r="C51" s="430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4"/>
      <c r="Q51" s="432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9"/>
      <c r="B52" s="4309"/>
      <c r="C52" s="430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4" t="s">
        <v>3810</v>
      </c>
      <c r="Q52" s="427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3" t="e">
        <f>#REF!</f>
        <v>#REF!</v>
      </c>
      <c r="Q53" s="431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4" t="s">
        <v>3801</v>
      </c>
      <c r="Q54" s="4274"/>
      <c r="R54" s="4304" t="s">
        <v>4195</v>
      </c>
      <c r="S54" s="4304"/>
      <c r="T54" s="430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9" t="s">
        <v>2921</v>
      </c>
      <c r="B56" s="4309"/>
      <c r="C56" s="430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3" t="e">
        <f>#REF!-#REF!-#REF!-#REF!-#REF!-#REF!</f>
        <v>#REF!</v>
      </c>
      <c r="Q56" s="431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9"/>
      <c r="B57" s="4309"/>
      <c r="C57" s="430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5" t="s">
        <v>3275</v>
      </c>
      <c r="Q57" s="3355"/>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9"/>
      <c r="B58" s="4309"/>
      <c r="C58" s="430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6"/>
      <c r="Q58" s="4327"/>
      <c r="R58" s="327"/>
      <c r="S58" s="4287" t="s">
        <v>3804</v>
      </c>
      <c r="T58" s="4288"/>
      <c r="U58" s="4288"/>
      <c r="V58" s="428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8"/>
      <c r="Q59" s="4329"/>
      <c r="S59" s="4290"/>
      <c r="T59" s="4291"/>
      <c r="U59" s="4291"/>
      <c r="V59" s="429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8" t="s">
        <v>3075</v>
      </c>
      <c r="Q60" s="4308"/>
      <c r="S60" s="4290"/>
      <c r="T60" s="4291"/>
      <c r="U60" s="4291"/>
      <c r="V60" s="429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90"/>
      <c r="T61" s="4291"/>
      <c r="U61" s="4291"/>
      <c r="V61" s="429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0"/>
      <c r="T62" s="4291"/>
      <c r="U62" s="4291"/>
      <c r="V62" s="429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0"/>
      <c r="T63" s="4291"/>
      <c r="U63" s="4291"/>
      <c r="V63" s="429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8" t="s">
        <v>3076</v>
      </c>
      <c r="Q64" s="4308"/>
      <c r="S64" s="4290"/>
      <c r="T64" s="4291"/>
      <c r="U64" s="4291"/>
      <c r="V64" s="429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90"/>
      <c r="T65" s="4291"/>
      <c r="U65" s="4291"/>
      <c r="V65" s="429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0"/>
      <c r="T66" s="4291"/>
      <c r="U66" s="4291"/>
      <c r="V66" s="429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9" t="s">
        <v>2484</v>
      </c>
      <c r="Q67" s="4299"/>
      <c r="S67" s="4290"/>
      <c r="T67" s="4291"/>
      <c r="U67" s="4291"/>
      <c r="V67" s="429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9"/>
      <c r="Q68" s="4299"/>
      <c r="S68" s="4290"/>
      <c r="T68" s="4291"/>
      <c r="U68" s="4291"/>
      <c r="V68" s="429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9"/>
      <c r="Q69" s="4299"/>
      <c r="R69" s="327"/>
      <c r="S69" s="4290"/>
      <c r="T69" s="4291"/>
      <c r="U69" s="4291"/>
      <c r="V69" s="429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0"/>
      <c r="Q70" s="4300"/>
      <c r="R70" s="327"/>
      <c r="S70" s="4293"/>
      <c r="T70" s="4294"/>
      <c r="U70" s="4294"/>
      <c r="V70" s="429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8" t="e">
        <f>IF(P58&gt;1,P58, IF(OR('Part VIII Scoring Criteria OLD'!$O$113='Part VIII Scoring Criteria OLD'!$M$113,AND(#REF!="Yes",'Part VIII Scoring Criteria OLD'!$O$378&gt;0)),H77+M77,H77))</f>
        <v>#REF!</v>
      </c>
      <c r="Q71" s="431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0"/>
      <c r="Q72" s="432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6" t="s">
        <v>3359</v>
      </c>
      <c r="Q73" s="429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7"/>
      <c r="Q74" s="429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7"/>
      <c r="Q75" s="429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7"/>
      <c r="Q76" s="429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6" t="e">
        <f>I54+I61+I68+I75</f>
        <v>#REF!</v>
      </c>
      <c r="I77" s="4306"/>
      <c r="J77" s="4306"/>
      <c r="K77" s="485" t="e">
        <f>K54+K61+K68+K75</f>
        <v>#REF!</v>
      </c>
      <c r="L77" s="486"/>
      <c r="M77" s="4306" t="e">
        <f>N54+N61+N68+N75</f>
        <v>#REF!</v>
      </c>
      <c r="N77" s="4306"/>
      <c r="O77" s="4306"/>
      <c r="P77" s="4297"/>
      <c r="Q77" s="429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298"/>
      <c r="Q78" s="4298"/>
    </row>
    <row r="79" spans="1:295" s="28" customFormat="1" ht="10.5" customHeight="1">
      <c r="A79" s="4117"/>
      <c r="B79" s="4118"/>
      <c r="C79" s="4118"/>
      <c r="D79" s="4118"/>
      <c r="E79" s="4118"/>
      <c r="F79" s="4118"/>
      <c r="G79" s="4118"/>
      <c r="H79" s="4118"/>
      <c r="I79" s="4118"/>
      <c r="J79" s="4119"/>
      <c r="K79" s="4114"/>
      <c r="L79" s="4115"/>
      <c r="M79" s="4115"/>
      <c r="N79" s="4115"/>
      <c r="O79" s="4115"/>
      <c r="P79" s="4115"/>
      <c r="Q79" s="411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2" t="e">
        <f>CONCATENATE("PART EIGHT - SCORING CRITERIA","  -  ",#REF!," ",#REF!,", ",#REF!,", ",#REF!," County")</f>
        <v>#REF!</v>
      </c>
      <c r="B1" s="3223"/>
      <c r="C1" s="3223"/>
      <c r="D1" s="3223"/>
      <c r="E1" s="3223"/>
      <c r="F1" s="3223"/>
      <c r="G1" s="3223"/>
      <c r="H1" s="3223"/>
      <c r="I1" s="3223"/>
      <c r="J1" s="3223"/>
      <c r="K1" s="3223"/>
      <c r="L1" s="3223"/>
      <c r="M1" s="3223"/>
      <c r="N1" s="3223"/>
      <c r="O1" s="3223"/>
      <c r="P1" s="3224"/>
      <c r="Q1" s="4338" t="s">
        <v>4538</v>
      </c>
      <c r="R1" s="4338"/>
      <c r="S1" s="4338"/>
      <c r="T1" s="4338"/>
      <c r="U1" s="4338"/>
      <c r="V1" s="4338"/>
      <c r="W1" s="1878"/>
      <c r="X1" s="1837"/>
    </row>
    <row r="2" spans="1:25" s="28" customFormat="1" ht="4.3499999999999996" customHeight="1">
      <c r="A2" s="29"/>
      <c r="B2" s="29"/>
      <c r="C2" s="30"/>
      <c r="D2" s="29"/>
      <c r="E2" s="29"/>
      <c r="F2" s="29"/>
      <c r="G2" s="29"/>
      <c r="H2" s="29"/>
      <c r="I2" s="29"/>
      <c r="J2" s="29"/>
      <c r="K2" s="29"/>
      <c r="L2" s="29"/>
      <c r="M2" s="31"/>
      <c r="N2" s="53"/>
      <c r="O2" s="119"/>
      <c r="P2" s="119"/>
      <c r="Q2" s="4338"/>
      <c r="R2" s="4338"/>
      <c r="S2" s="4338"/>
      <c r="T2" s="4338"/>
      <c r="U2" s="4338"/>
      <c r="V2" s="4338"/>
      <c r="W2" s="1878"/>
      <c r="X2" s="1837"/>
    </row>
    <row r="3" spans="1:25" s="35" customFormat="1" ht="12" customHeight="1">
      <c r="A3" s="4389" t="s">
        <v>4551</v>
      </c>
      <c r="B3" s="4389"/>
      <c r="C3" s="4389"/>
      <c r="D3" s="4389"/>
      <c r="E3" s="4389"/>
      <c r="F3" s="4389"/>
      <c r="G3" s="4389"/>
      <c r="H3" s="4389"/>
      <c r="I3" s="4389"/>
      <c r="J3" s="4389"/>
      <c r="K3" s="4389"/>
      <c r="L3" s="4389"/>
      <c r="M3" s="658"/>
      <c r="N3" s="54"/>
      <c r="O3" s="63" t="s">
        <v>2045</v>
      </c>
      <c r="P3" s="901" t="s">
        <v>245</v>
      </c>
      <c r="Q3" s="4338"/>
      <c r="R3" s="4338"/>
      <c r="S3" s="4338"/>
      <c r="T3" s="4338"/>
      <c r="U3" s="4338"/>
      <c r="V3" s="4338"/>
      <c r="W3" s="1878"/>
      <c r="X3" s="1837"/>
    </row>
    <row r="4" spans="1:25" s="37" customFormat="1" ht="12" customHeight="1">
      <c r="A4" s="4389"/>
      <c r="B4" s="4389"/>
      <c r="C4" s="4389"/>
      <c r="D4" s="4389"/>
      <c r="E4" s="4389"/>
      <c r="F4" s="4389"/>
      <c r="G4" s="4389"/>
      <c r="H4" s="4389"/>
      <c r="I4" s="4389"/>
      <c r="J4" s="4389"/>
      <c r="K4" s="4389"/>
      <c r="L4" s="4389"/>
      <c r="M4" s="658"/>
      <c r="N4" s="64"/>
      <c r="O4" s="149" t="s">
        <v>2046</v>
      </c>
      <c r="P4" s="149" t="s">
        <v>2046</v>
      </c>
      <c r="Q4" s="4338"/>
      <c r="R4" s="4338"/>
      <c r="S4" s="4338"/>
      <c r="T4" s="4338"/>
      <c r="U4" s="4338"/>
      <c r="V4" s="4338"/>
    </row>
    <row r="5" spans="1:25" s="37" customFormat="1" ht="3" customHeight="1" thickBot="1">
      <c r="A5" s="35"/>
      <c r="B5" s="35"/>
      <c r="C5" s="35"/>
      <c r="D5" s="35"/>
      <c r="E5" s="35"/>
      <c r="F5" s="35"/>
      <c r="G5" s="35"/>
      <c r="H5" s="35"/>
      <c r="I5" s="35"/>
      <c r="J5" s="35"/>
      <c r="K5" s="35"/>
      <c r="M5" s="1545"/>
      <c r="N5" s="4"/>
      <c r="O5" s="119"/>
      <c r="P5" s="24"/>
      <c r="Q5" s="4338"/>
      <c r="R5" s="4338"/>
      <c r="S5" s="4338"/>
      <c r="T5" s="4338"/>
      <c r="U5" s="4338"/>
      <c r="V5" s="4338"/>
    </row>
    <row r="6" spans="1:25" s="37" customFormat="1" ht="13.5" customHeight="1" thickTop="1" thickBot="1">
      <c r="A6" s="35"/>
      <c r="B6" s="4484" t="e">
        <f>#REF!</f>
        <v>#REF!</v>
      </c>
      <c r="C6" s="4484"/>
      <c r="D6" s="4484"/>
      <c r="E6" s="4484"/>
      <c r="F6" s="4484"/>
      <c r="G6" s="72"/>
      <c r="H6" s="35"/>
      <c r="I6" s="35"/>
      <c r="J6" s="35"/>
      <c r="L6" s="51" t="s">
        <v>1151</v>
      </c>
      <c r="M6" s="3"/>
      <c r="N6" s="7"/>
      <c r="O6" s="1525" t="e">
        <f>O442</f>
        <v>#REF!</v>
      </c>
      <c r="P6" s="1525" t="e">
        <f>P442</f>
        <v>#REF!</v>
      </c>
      <c r="Q6" s="1457" t="s">
        <v>4629</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4034</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4035</v>
      </c>
      <c r="D10" s="29"/>
      <c r="E10" s="29"/>
      <c r="F10" s="29"/>
      <c r="G10" s="42"/>
      <c r="H10" s="147" t="s">
        <v>3705</v>
      </c>
      <c r="I10" s="42"/>
      <c r="J10" s="42"/>
      <c r="K10" s="42"/>
      <c r="L10" s="42"/>
      <c r="M10" s="1122" t="s">
        <v>3704</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481" t="s">
        <v>4391</v>
      </c>
      <c r="G12" s="4481"/>
      <c r="H12" s="4481"/>
      <c r="I12" s="4481"/>
      <c r="J12" s="4481"/>
      <c r="K12" s="4481"/>
      <c r="L12" s="4481"/>
      <c r="M12" s="4481"/>
      <c r="N12" s="4481"/>
      <c r="O12" s="1142" t="s">
        <v>3684</v>
      </c>
      <c r="P12" s="1143">
        <f>SUM(P13:P31)</f>
        <v>0</v>
      </c>
      <c r="Q12" s="4337" t="s">
        <v>4438</v>
      </c>
      <c r="R12" s="4337"/>
      <c r="S12" s="4337"/>
      <c r="T12" s="4337"/>
      <c r="U12" s="4337"/>
      <c r="V12" s="1120"/>
    </row>
    <row r="13" spans="1:25" s="35" customFormat="1" ht="10.5" customHeight="1">
      <c r="A13" s="911" t="s">
        <v>1663</v>
      </c>
      <c r="B13" s="908" t="s">
        <v>3304</v>
      </c>
      <c r="C13" s="909"/>
      <c r="D13" s="910"/>
      <c r="E13" s="1136">
        <f>$O$103</f>
        <v>0</v>
      </c>
      <c r="F13" s="4482">
        <f>$A$109</f>
        <v>0</v>
      </c>
      <c r="G13" s="4483"/>
      <c r="H13" s="4483"/>
      <c r="I13" s="4483"/>
      <c r="J13" s="4483"/>
      <c r="K13" s="4483"/>
      <c r="L13" s="4483"/>
      <c r="M13" s="4483"/>
      <c r="N13" s="4483"/>
      <c r="O13" s="4483"/>
      <c r="P13" s="1149"/>
      <c r="Q13" s="4337"/>
      <c r="R13" s="4337"/>
      <c r="S13" s="4337"/>
      <c r="T13" s="4337"/>
      <c r="U13" s="4337"/>
      <c r="V13" s="1120"/>
    </row>
    <row r="14" spans="1:25" s="35" customFormat="1" ht="10.5" customHeight="1">
      <c r="A14" s="911" t="s">
        <v>495</v>
      </c>
      <c r="B14" s="738" t="s">
        <v>3907</v>
      </c>
      <c r="C14" s="853"/>
      <c r="D14" s="912"/>
      <c r="E14" s="1681">
        <f>$O$113</f>
        <v>0</v>
      </c>
      <c r="F14" s="4357">
        <f>$A$147</f>
        <v>0</v>
      </c>
      <c r="G14" s="4358"/>
      <c r="H14" s="4358"/>
      <c r="I14" s="4358"/>
      <c r="J14" s="4358"/>
      <c r="K14" s="4358"/>
      <c r="L14" s="4358"/>
      <c r="M14" s="4358"/>
      <c r="N14" s="4358"/>
      <c r="O14" s="4359"/>
      <c r="P14" s="1150"/>
      <c r="Q14" s="4337"/>
      <c r="R14" s="4337"/>
      <c r="S14" s="4337"/>
      <c r="T14" s="4337"/>
      <c r="U14" s="4337"/>
    </row>
    <row r="15" spans="1:25" s="35" customFormat="1" ht="10.5" customHeight="1">
      <c r="A15" s="911" t="s">
        <v>719</v>
      </c>
      <c r="B15" s="738" t="s">
        <v>3249</v>
      </c>
      <c r="C15" s="853"/>
      <c r="D15" s="912"/>
      <c r="E15" s="1681">
        <f>$O$152</f>
        <v>0</v>
      </c>
      <c r="F15" s="4357">
        <f>$A$165</f>
        <v>0</v>
      </c>
      <c r="G15" s="4358"/>
      <c r="H15" s="4358"/>
      <c r="I15" s="4358"/>
      <c r="J15" s="4358"/>
      <c r="K15" s="4358"/>
      <c r="L15" s="4358"/>
      <c r="M15" s="4358"/>
      <c r="N15" s="4358"/>
      <c r="O15" s="4359"/>
      <c r="P15" s="1150"/>
      <c r="Q15" s="1884"/>
      <c r="R15" s="1884"/>
      <c r="S15" s="1884"/>
      <c r="T15" s="1884"/>
      <c r="U15" s="1884"/>
    </row>
    <row r="16" spans="1:25" s="35" customFormat="1" ht="10.5" customHeight="1">
      <c r="A16" s="1524" t="s">
        <v>280</v>
      </c>
      <c r="B16" s="738" t="s">
        <v>3305</v>
      </c>
      <c r="C16" s="853"/>
      <c r="D16" s="912"/>
      <c r="E16" s="1138">
        <f>$O$169</f>
        <v>0</v>
      </c>
      <c r="F16" s="4357">
        <f>$A$186</f>
        <v>0</v>
      </c>
      <c r="G16" s="4358"/>
      <c r="H16" s="4358"/>
      <c r="I16" s="4358"/>
      <c r="J16" s="4358"/>
      <c r="K16" s="4358"/>
      <c r="L16" s="4358"/>
      <c r="M16" s="4358"/>
      <c r="N16" s="4358"/>
      <c r="O16" s="4359"/>
      <c r="P16" s="1150"/>
      <c r="Q16" s="1884"/>
      <c r="R16" s="1884"/>
      <c r="S16" s="1884"/>
      <c r="T16" s="1884"/>
      <c r="U16" s="1884"/>
    </row>
    <row r="17" spans="1:35" s="35" customFormat="1" ht="10.5" customHeight="1">
      <c r="A17" s="911" t="s">
        <v>400</v>
      </c>
      <c r="B17" s="918" t="s">
        <v>3306</v>
      </c>
      <c r="C17" s="919"/>
      <c r="D17" s="920"/>
      <c r="E17" s="1139" t="s">
        <v>1607</v>
      </c>
      <c r="F17" s="4421">
        <f>$A$201</f>
        <v>0</v>
      </c>
      <c r="G17" s="4422"/>
      <c r="H17" s="4422"/>
      <c r="I17" s="4422"/>
      <c r="J17" s="4422"/>
      <c r="K17" s="4422"/>
      <c r="L17" s="4422"/>
      <c r="M17" s="4422"/>
      <c r="N17" s="4422"/>
      <c r="O17" s="4423"/>
      <c r="P17" s="1150"/>
      <c r="Q17" s="1884"/>
      <c r="R17" s="1884"/>
      <c r="S17" s="1884"/>
      <c r="T17" s="1884"/>
      <c r="U17" s="1884"/>
    </row>
    <row r="18" spans="1:35" s="35" customFormat="1" ht="10.5" customHeight="1">
      <c r="A18" s="911" t="s">
        <v>342</v>
      </c>
      <c r="B18" s="738" t="s">
        <v>3908</v>
      </c>
      <c r="C18" s="853"/>
      <c r="D18" s="912"/>
      <c r="E18" s="1137">
        <f>$O$205</f>
        <v>0</v>
      </c>
      <c r="F18" s="4357">
        <f>$A$220</f>
        <v>0</v>
      </c>
      <c r="G18" s="4358"/>
      <c r="H18" s="4358"/>
      <c r="I18" s="4358"/>
      <c r="J18" s="4358"/>
      <c r="K18" s="4358"/>
      <c r="L18" s="4358"/>
      <c r="M18" s="4358"/>
      <c r="N18" s="4358"/>
      <c r="O18" s="4359"/>
      <c r="P18" s="1150"/>
      <c r="Q18" s="4416" t="str">
        <f>IF(OR($A$109="",$A$147="",$A$165="",$A$186="",$A$201="",$A$220="",$A$238="",$A$248="",$A$257="",$A$281="",$A$306="",$A$314="",$A$338="",$A$374="",$A$393="",$A$414="",$A$420="",$A$430="",$A$438=""),"Some Applicant Scoring Justification boxes are empty! Check to see if points claimed.","")</f>
        <v>Some Applicant Scoring Justification boxes are empty! Check to see if points claimed.</v>
      </c>
      <c r="R18" s="4417"/>
      <c r="S18" s="4417"/>
    </row>
    <row r="19" spans="1:35" s="35" customFormat="1" ht="10.5" customHeight="1">
      <c r="A19" s="911" t="s">
        <v>3910</v>
      </c>
      <c r="B19" s="738" t="s">
        <v>3176</v>
      </c>
      <c r="C19" s="853"/>
      <c r="D19" s="912"/>
      <c r="E19" s="1137">
        <f>$O$233</f>
        <v>0</v>
      </c>
      <c r="F19" s="4357">
        <f>$A$238</f>
        <v>0</v>
      </c>
      <c r="G19" s="4358"/>
      <c r="H19" s="4358"/>
      <c r="I19" s="4358"/>
      <c r="J19" s="4358"/>
      <c r="K19" s="4358"/>
      <c r="L19" s="4358"/>
      <c r="M19" s="4358"/>
      <c r="N19" s="4358"/>
      <c r="O19" s="4359"/>
      <c r="P19" s="1150"/>
      <c r="Q19" s="4416"/>
      <c r="R19" s="4417"/>
      <c r="S19" s="4417"/>
    </row>
    <row r="20" spans="1:35" s="35" customFormat="1" ht="10.5" customHeight="1">
      <c r="A20" s="911" t="s">
        <v>3921</v>
      </c>
      <c r="B20" s="738" t="s">
        <v>3911</v>
      </c>
      <c r="C20" s="853"/>
      <c r="D20" s="912"/>
      <c r="E20" s="1139">
        <f>$O$242</f>
        <v>0</v>
      </c>
      <c r="F20" s="4357">
        <f>$A$248</f>
        <v>0</v>
      </c>
      <c r="G20" s="4358"/>
      <c r="H20" s="4358"/>
      <c r="I20" s="4358"/>
      <c r="J20" s="4358"/>
      <c r="K20" s="4358"/>
      <c r="L20" s="4358"/>
      <c r="M20" s="4358"/>
      <c r="N20" s="4358"/>
      <c r="O20" s="4359"/>
      <c r="P20" s="1150"/>
      <c r="Q20" s="4416"/>
      <c r="R20" s="4417"/>
      <c r="S20" s="4417"/>
    </row>
    <row r="21" spans="1:35" s="35" customFormat="1" ht="10.5" customHeight="1">
      <c r="A21" s="917" t="s">
        <v>4138</v>
      </c>
      <c r="B21" s="918" t="s">
        <v>3912</v>
      </c>
      <c r="C21" s="919"/>
      <c r="D21" s="920"/>
      <c r="E21" s="1140">
        <f>$O$252</f>
        <v>0</v>
      </c>
      <c r="F21" s="4421">
        <f>$A$257</f>
        <v>0</v>
      </c>
      <c r="G21" s="4422"/>
      <c r="H21" s="4422"/>
      <c r="I21" s="4422"/>
      <c r="J21" s="4422"/>
      <c r="K21" s="4422"/>
      <c r="L21" s="4422"/>
      <c r="M21" s="4422"/>
      <c r="N21" s="4422"/>
      <c r="O21" s="4423"/>
      <c r="P21" s="1150"/>
      <c r="Q21" s="4416"/>
      <c r="R21" s="4417"/>
      <c r="S21" s="4417"/>
    </row>
    <row r="22" spans="1:35" s="35" customFormat="1" ht="10.5" customHeight="1">
      <c r="A22" s="911" t="s">
        <v>4530</v>
      </c>
      <c r="B22" s="738" t="s">
        <v>4442</v>
      </c>
      <c r="C22" s="853"/>
      <c r="D22" s="912"/>
      <c r="E22" s="1137">
        <f>$O$274</f>
        <v>0</v>
      </c>
      <c r="F22" s="4357">
        <f>$A$281</f>
        <v>0</v>
      </c>
      <c r="G22" s="4358"/>
      <c r="H22" s="4358"/>
      <c r="I22" s="4358"/>
      <c r="J22" s="4358"/>
      <c r="K22" s="4358"/>
      <c r="L22" s="4358"/>
      <c r="M22" s="4358"/>
      <c r="N22" s="4358"/>
      <c r="O22" s="4359"/>
      <c r="P22" s="1150"/>
      <c r="Q22" s="4416"/>
      <c r="R22" s="4417"/>
      <c r="S22" s="4417"/>
    </row>
    <row r="23" spans="1:35" s="35" customFormat="1" ht="10.5" customHeight="1">
      <c r="A23" s="911" t="s">
        <v>4532</v>
      </c>
      <c r="B23" s="738" t="s">
        <v>4531</v>
      </c>
      <c r="C23" s="853"/>
      <c r="D23" s="912"/>
      <c r="E23" s="1137">
        <f>$O$285</f>
        <v>0</v>
      </c>
      <c r="F23" s="4357">
        <f>$A$306</f>
        <v>0</v>
      </c>
      <c r="G23" s="4358"/>
      <c r="H23" s="4358"/>
      <c r="I23" s="4358"/>
      <c r="J23" s="4358"/>
      <c r="K23" s="4358"/>
      <c r="L23" s="4358"/>
      <c r="M23" s="4358"/>
      <c r="N23" s="4358"/>
      <c r="O23" s="4359"/>
      <c r="P23" s="1150"/>
      <c r="Q23" s="4416"/>
      <c r="R23" s="4417"/>
      <c r="S23" s="4417"/>
    </row>
    <row r="24" spans="1:35" s="35" customFormat="1" ht="10.5" customHeight="1">
      <c r="A24" s="1524" t="s">
        <v>3279</v>
      </c>
      <c r="B24" s="1797" t="s">
        <v>4448</v>
      </c>
      <c r="C24" s="1798"/>
      <c r="D24" s="1799"/>
      <c r="E24" s="1138">
        <f>$O$310</f>
        <v>0</v>
      </c>
      <c r="F24" s="4410">
        <f>$A$314</f>
        <v>0</v>
      </c>
      <c r="G24" s="4411"/>
      <c r="H24" s="4411"/>
      <c r="I24" s="4411"/>
      <c r="J24" s="4411"/>
      <c r="K24" s="4411"/>
      <c r="L24" s="4411"/>
      <c r="M24" s="4411"/>
      <c r="N24" s="4411"/>
      <c r="O24" s="4412"/>
      <c r="P24" s="1150"/>
      <c r="Q24" s="4416"/>
      <c r="R24" s="4417"/>
      <c r="S24" s="4417"/>
    </row>
    <row r="25" spans="1:35" s="35" customFormat="1" ht="10.5" customHeight="1">
      <c r="A25" s="911" t="s">
        <v>3283</v>
      </c>
      <c r="B25" s="738" t="s">
        <v>3307</v>
      </c>
      <c r="C25" s="853"/>
      <c r="D25" s="912"/>
      <c r="E25" s="1137">
        <f>$O$334</f>
        <v>0</v>
      </c>
      <c r="F25" s="4357">
        <f>$A$338</f>
        <v>0</v>
      </c>
      <c r="G25" s="4358"/>
      <c r="H25" s="4358"/>
      <c r="I25" s="4358"/>
      <c r="J25" s="4358"/>
      <c r="K25" s="4358"/>
      <c r="L25" s="4358"/>
      <c r="M25" s="4358"/>
      <c r="N25" s="4358"/>
      <c r="O25" s="4359"/>
      <c r="P25" s="1150"/>
      <c r="Q25" s="4416"/>
      <c r="R25" s="4417"/>
      <c r="S25" s="4417"/>
    </row>
    <row r="26" spans="1:35" s="35" customFormat="1" ht="10.5" customHeight="1">
      <c r="A26" s="911" t="s">
        <v>3286</v>
      </c>
      <c r="B26" s="738" t="s">
        <v>3308</v>
      </c>
      <c r="C26" s="853"/>
      <c r="D26" s="912"/>
      <c r="E26" s="1137">
        <f>$O$342</f>
        <v>0</v>
      </c>
      <c r="F26" s="4357">
        <f>$A$374</f>
        <v>0</v>
      </c>
      <c r="G26" s="4358"/>
      <c r="H26" s="4358"/>
      <c r="I26" s="4358"/>
      <c r="J26" s="4358"/>
      <c r="K26" s="4358"/>
      <c r="L26" s="4358"/>
      <c r="M26" s="4358"/>
      <c r="N26" s="4358"/>
      <c r="O26" s="4359"/>
      <c r="P26" s="1150"/>
      <c r="Q26" s="4416"/>
      <c r="R26" s="4417"/>
      <c r="S26" s="4417"/>
    </row>
    <row r="27" spans="1:35" s="35" customFormat="1" ht="10.5" customHeight="1">
      <c r="A27" s="911" t="s">
        <v>3287</v>
      </c>
      <c r="B27" s="738" t="s">
        <v>3309</v>
      </c>
      <c r="C27" s="853"/>
      <c r="D27" s="912"/>
      <c r="E27" s="1139">
        <f>$O$378</f>
        <v>0</v>
      </c>
      <c r="F27" s="4357">
        <f>$A$393</f>
        <v>0</v>
      </c>
      <c r="G27" s="4358"/>
      <c r="H27" s="4358"/>
      <c r="I27" s="4358"/>
      <c r="J27" s="4358"/>
      <c r="K27" s="4358"/>
      <c r="L27" s="4358"/>
      <c r="M27" s="4358"/>
      <c r="N27" s="4358"/>
      <c r="O27" s="4359"/>
      <c r="P27" s="1150"/>
      <c r="Q27" s="1874"/>
      <c r="R27" s="1540"/>
      <c r="S27" s="1540"/>
      <c r="AA27" s="4"/>
      <c r="AB27" s="4"/>
      <c r="AC27" s="4"/>
      <c r="AD27" s="4"/>
      <c r="AE27" s="4"/>
      <c r="AF27" s="4"/>
    </row>
    <row r="28" spans="1:35" s="35" customFormat="1" ht="10.5" customHeight="1">
      <c r="A28" s="913" t="s">
        <v>3289</v>
      </c>
      <c r="B28" s="914" t="s">
        <v>4529</v>
      </c>
      <c r="C28" s="915"/>
      <c r="D28" s="916"/>
      <c r="E28" s="1536">
        <f>$O$405</f>
        <v>2</v>
      </c>
      <c r="F28" s="4372">
        <f>$A$414</f>
        <v>0</v>
      </c>
      <c r="G28" s="4373"/>
      <c r="H28" s="4373"/>
      <c r="I28" s="4373"/>
      <c r="J28" s="4373"/>
      <c r="K28" s="4373"/>
      <c r="L28" s="4373"/>
      <c r="M28" s="4373"/>
      <c r="N28" s="4373"/>
      <c r="O28" s="4374"/>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4031</v>
      </c>
      <c r="C29" s="853"/>
      <c r="D29" s="912"/>
      <c r="E29" s="1137">
        <f>$O$418</f>
        <v>0</v>
      </c>
      <c r="F29" s="4357">
        <f>$A$420</f>
        <v>0</v>
      </c>
      <c r="G29" s="4358"/>
      <c r="H29" s="4358"/>
      <c r="I29" s="4358"/>
      <c r="J29" s="4358"/>
      <c r="K29" s="4358"/>
      <c r="L29" s="4358"/>
      <c r="M29" s="4358"/>
      <c r="N29" s="4358"/>
      <c r="O29" s="4359"/>
      <c r="P29" s="1150"/>
      <c r="Q29" s="1874"/>
      <c r="R29" s="1540"/>
      <c r="S29" s="1540"/>
    </row>
    <row r="30" spans="1:35" s="35" customFormat="1" ht="10.5" customHeight="1">
      <c r="A30" s="911" t="s">
        <v>3677</v>
      </c>
      <c r="B30" s="738" t="s">
        <v>4446</v>
      </c>
      <c r="C30" s="853"/>
      <c r="D30" s="912"/>
      <c r="E30" s="1137">
        <f>$O$428</f>
        <v>0</v>
      </c>
      <c r="F30" s="4357">
        <f>$A$430</f>
        <v>0</v>
      </c>
      <c r="G30" s="4358"/>
      <c r="H30" s="4358"/>
      <c r="I30" s="4358"/>
      <c r="J30" s="4358"/>
      <c r="K30" s="4358"/>
      <c r="L30" s="4358"/>
      <c r="M30" s="4358"/>
      <c r="N30" s="4358"/>
      <c r="O30" s="4359"/>
      <c r="P30" s="1150"/>
      <c r="Q30" s="1874"/>
      <c r="R30" s="1540"/>
      <c r="S30" s="1540"/>
      <c r="AA30" s="3524" t="s">
        <v>4456</v>
      </c>
      <c r="AB30" s="3524"/>
      <c r="AC30" s="3524"/>
      <c r="AD30" s="3524"/>
      <c r="AE30" s="3524"/>
      <c r="AF30" s="3524"/>
    </row>
    <row r="31" spans="1:35" s="35" customFormat="1" ht="10.5" customHeight="1">
      <c r="A31" s="913" t="s">
        <v>4449</v>
      </c>
      <c r="B31" s="914" t="s">
        <v>4447</v>
      </c>
      <c r="C31" s="915"/>
      <c r="D31" s="916"/>
      <c r="E31" s="1536">
        <f>$O$434</f>
        <v>0</v>
      </c>
      <c r="F31" s="4372">
        <f>$A$438</f>
        <v>0</v>
      </c>
      <c r="G31" s="4373"/>
      <c r="H31" s="4373"/>
      <c r="I31" s="4373"/>
      <c r="J31" s="4373"/>
      <c r="K31" s="4373"/>
      <c r="L31" s="4373"/>
      <c r="M31" s="4373"/>
      <c r="N31" s="4373"/>
      <c r="O31" s="4374"/>
      <c r="P31" s="1151"/>
      <c r="Q31" s="1874"/>
      <c r="R31" s="1540"/>
      <c r="S31" s="1540"/>
      <c r="X31" s="3524" t="s">
        <v>4457</v>
      </c>
      <c r="Y31" s="3524"/>
      <c r="Z31" s="3524"/>
      <c r="AA31" s="3524"/>
      <c r="AB31" s="3524"/>
      <c r="AC31" s="3524"/>
      <c r="AD31" s="3524" t="s">
        <v>4458</v>
      </c>
      <c r="AE31" s="3524"/>
      <c r="AF31" s="3524"/>
      <c r="AG31" s="3524"/>
      <c r="AH31" s="3524"/>
      <c r="AI31" s="3524"/>
    </row>
    <row r="32" spans="1:35" s="115" customFormat="1" ht="5.25" customHeight="1">
      <c r="C32" s="68"/>
      <c r="D32" s="68"/>
      <c r="E32" s="68"/>
      <c r="F32" s="68"/>
      <c r="G32" s="1423"/>
      <c r="H32" s="68"/>
      <c r="I32" s="68"/>
      <c r="J32" s="68"/>
      <c r="K32" s="68"/>
    </row>
    <row r="33" spans="1:46" s="115" customFormat="1" ht="12.75" customHeight="1">
      <c r="A33" s="120" t="s">
        <v>688</v>
      </c>
      <c r="B33" s="83" t="s">
        <v>4036</v>
      </c>
      <c r="C33" s="70"/>
      <c r="D33" s="68"/>
      <c r="E33" s="68"/>
      <c r="F33" s="68"/>
      <c r="G33" s="4424" t="s">
        <v>4024</v>
      </c>
      <c r="H33" s="4424"/>
      <c r="I33" s="4418" t="s">
        <v>4401</v>
      </c>
      <c r="J33" s="4419"/>
      <c r="K33" s="4419"/>
      <c r="L33" s="4420"/>
      <c r="M33" s="4485" t="s">
        <v>4037</v>
      </c>
      <c r="N33" s="4485"/>
      <c r="O33" s="4485"/>
      <c r="P33" s="4485"/>
      <c r="Q33" s="435"/>
      <c r="R33" s="435"/>
      <c r="S33" s="83" t="s">
        <v>4036</v>
      </c>
      <c r="T33" s="435"/>
      <c r="U33" s="435"/>
      <c r="V33" s="435"/>
      <c r="X33" s="4404" t="s">
        <v>4024</v>
      </c>
      <c r="Y33" s="4406"/>
      <c r="Z33" s="4404" t="s">
        <v>4401</v>
      </c>
      <c r="AA33" s="4405"/>
      <c r="AB33" s="4405"/>
      <c r="AC33" s="4406"/>
      <c r="AD33" s="4413" t="s">
        <v>4024</v>
      </c>
      <c r="AE33" s="4414"/>
      <c r="AF33" s="4415" t="s">
        <v>4401</v>
      </c>
      <c r="AG33" s="4413"/>
      <c r="AH33" s="4413"/>
      <c r="AI33" s="4414"/>
    </row>
    <row r="34" spans="1:46" s="115" customFormat="1" ht="11.25" customHeight="1">
      <c r="A34" s="44"/>
      <c r="B34" s="29"/>
      <c r="C34" s="44"/>
      <c r="D34" s="44"/>
      <c r="E34" s="44"/>
      <c r="F34" s="44"/>
      <c r="G34" s="1635">
        <v>0.09</v>
      </c>
      <c r="H34" s="1635">
        <v>0.04</v>
      </c>
      <c r="I34" s="1635">
        <v>0.04</v>
      </c>
      <c r="J34" s="1635" t="s">
        <v>4439</v>
      </c>
      <c r="K34" s="1635" t="s">
        <v>4440</v>
      </c>
      <c r="L34" s="1635" t="s">
        <v>4441</v>
      </c>
      <c r="M34" s="4407" t="e">
        <f>#REF!</f>
        <v>#REF!</v>
      </c>
      <c r="N34" s="4408"/>
      <c r="O34" s="4408"/>
      <c r="P34" s="4409"/>
      <c r="Q34" s="435"/>
      <c r="R34" s="44"/>
      <c r="S34" s="29"/>
      <c r="T34" s="44"/>
      <c r="U34" s="44"/>
      <c r="V34" s="44"/>
      <c r="W34" s="44"/>
      <c r="X34" s="1635">
        <v>0.09</v>
      </c>
      <c r="Y34" s="1635">
        <v>0.04</v>
      </c>
      <c r="Z34" s="1635">
        <v>0.04</v>
      </c>
      <c r="AA34" s="1635" t="s">
        <v>4439</v>
      </c>
      <c r="AB34" s="1635" t="s">
        <v>4440</v>
      </c>
      <c r="AC34" s="1635" t="s">
        <v>4441</v>
      </c>
      <c r="AD34" s="1635">
        <v>0.09</v>
      </c>
      <c r="AE34" s="1635">
        <v>0.04</v>
      </c>
      <c r="AF34" s="1635">
        <v>0.04</v>
      </c>
      <c r="AG34" s="1635" t="s">
        <v>4439</v>
      </c>
      <c r="AH34" s="1635" t="s">
        <v>4440</v>
      </c>
      <c r="AI34" s="1635" t="s">
        <v>4441</v>
      </c>
    </row>
    <row r="35" spans="1:46" s="115" customFormat="1" ht="10.5" customHeight="1">
      <c r="A35" s="646" t="s">
        <v>572</v>
      </c>
      <c r="B35" s="1636" t="s">
        <v>4639</v>
      </c>
      <c r="C35" s="1637"/>
      <c r="D35" s="1638"/>
      <c r="E35" s="1638"/>
      <c r="F35" s="1638"/>
      <c r="G35" s="1639">
        <v>0</v>
      </c>
      <c r="H35" s="1640">
        <v>0</v>
      </c>
      <c r="I35" s="1903">
        <v>0</v>
      </c>
      <c r="J35" s="1904">
        <v>0</v>
      </c>
      <c r="K35" s="1904">
        <v>0</v>
      </c>
      <c r="L35" s="1905">
        <v>0</v>
      </c>
      <c r="Q35" s="142"/>
      <c r="R35" s="646" t="s">
        <v>572</v>
      </c>
      <c r="S35" s="1636" t="s">
        <v>4639</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4025</v>
      </c>
      <c r="C36" s="1637"/>
      <c r="D36" s="1638"/>
      <c r="E36" s="1638"/>
      <c r="F36" s="1638"/>
      <c r="G36" s="1639">
        <v>10</v>
      </c>
      <c r="H36" s="1640">
        <v>10</v>
      </c>
      <c r="I36" s="1639">
        <v>10</v>
      </c>
      <c r="J36" s="1906">
        <v>10</v>
      </c>
      <c r="K36" s="1731">
        <v>10</v>
      </c>
      <c r="L36" s="1645">
        <v>10</v>
      </c>
      <c r="Q36" s="142"/>
      <c r="R36" s="646" t="s">
        <v>690</v>
      </c>
      <c r="S36" s="1636" t="s">
        <v>4025</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4026</v>
      </c>
      <c r="C37" s="1642"/>
      <c r="D37" s="1643"/>
      <c r="E37" s="1643"/>
      <c r="F37" s="1643"/>
      <c r="G37" s="1644">
        <v>3</v>
      </c>
      <c r="H37" s="1645">
        <v>3</v>
      </c>
      <c r="I37" s="1644"/>
      <c r="J37" s="1731"/>
      <c r="K37" s="1731"/>
      <c r="L37" s="1645"/>
      <c r="M37" s="258" t="s">
        <v>4038</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4026</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3907</v>
      </c>
      <c r="C39" s="1642"/>
      <c r="D39" s="1643"/>
      <c r="E39" s="1643"/>
      <c r="F39" s="1643"/>
      <c r="G39" s="1644">
        <v>6</v>
      </c>
      <c r="H39" s="1645">
        <v>4</v>
      </c>
      <c r="I39" s="1644"/>
      <c r="J39" s="1731"/>
      <c r="K39" s="1731"/>
      <c r="L39" s="1645"/>
      <c r="Q39" s="142"/>
      <c r="R39" s="646" t="s">
        <v>495</v>
      </c>
      <c r="S39" s="1641" t="s">
        <v>3907</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486" t="s">
        <v>4455</v>
      </c>
      <c r="N40" s="4487"/>
      <c r="O40" s="4487"/>
      <c r="P40" s="4487"/>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486"/>
      <c r="N41" s="4487"/>
      <c r="O41" s="4487"/>
      <c r="P41" s="4487"/>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4450</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3908</v>
      </c>
      <c r="C43" s="1642"/>
      <c r="D43" s="1643"/>
      <c r="E43" s="1643"/>
      <c r="F43" s="1643"/>
      <c r="G43" s="1644">
        <v>10</v>
      </c>
      <c r="H43" s="1645">
        <v>5</v>
      </c>
      <c r="I43" s="1644"/>
      <c r="J43" s="1731"/>
      <c r="K43" s="1731"/>
      <c r="L43" s="1645"/>
      <c r="M43" s="147" t="s">
        <v>3221</v>
      </c>
      <c r="N43" s="147"/>
      <c r="O43" s="147"/>
      <c r="P43" s="810"/>
      <c r="Q43" s="142"/>
      <c r="R43" s="646" t="s">
        <v>342</v>
      </c>
      <c r="S43" s="1641" t="s">
        <v>3908</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4027</v>
      </c>
      <c r="C44" s="1642"/>
      <c r="D44" s="1643"/>
      <c r="E44" s="1643"/>
      <c r="F44" s="1643"/>
      <c r="G44" s="1644">
        <v>1</v>
      </c>
      <c r="H44" s="1645"/>
      <c r="I44" s="1644"/>
      <c r="J44" s="1731"/>
      <c r="K44" s="1731"/>
      <c r="L44" s="1645"/>
      <c r="M44" s="1743" t="s">
        <v>4042</v>
      </c>
      <c r="N44" s="223"/>
      <c r="O44" s="223"/>
      <c r="P44" s="805"/>
      <c r="Q44" s="142"/>
      <c r="R44" s="646" t="s">
        <v>343</v>
      </c>
      <c r="S44" s="1641" t="s">
        <v>4027</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4405</v>
      </c>
      <c r="N45" s="223"/>
      <c r="O45" s="241" t="s">
        <v>4041</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4028</v>
      </c>
      <c r="C46" s="1642"/>
      <c r="D46" s="1643"/>
      <c r="E46" s="1643"/>
      <c r="F46" s="1643"/>
      <c r="G46" s="1644">
        <v>3</v>
      </c>
      <c r="H46" s="1645"/>
      <c r="I46" s="1644"/>
      <c r="J46" s="1731"/>
      <c r="K46" s="1731"/>
      <c r="L46" s="1645"/>
      <c r="M46" s="1743"/>
      <c r="N46" s="223"/>
      <c r="O46" s="241" t="s">
        <v>4451</v>
      </c>
      <c r="P46" s="1825" t="str">
        <f>IF('Part VII-Threshold Criteria OLD'!$P$344="Agree","Yes","")</f>
        <v/>
      </c>
      <c r="Q46" s="142"/>
      <c r="R46" s="646" t="s">
        <v>1602</v>
      </c>
      <c r="S46" s="1641" t="s">
        <v>4028</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3912</v>
      </c>
      <c r="C47" s="1642"/>
      <c r="D47" s="1643"/>
      <c r="E47" s="1643"/>
      <c r="F47" s="1643"/>
      <c r="G47" s="1644">
        <v>5</v>
      </c>
      <c r="H47" s="1645"/>
      <c r="I47" s="1644"/>
      <c r="J47" s="1731"/>
      <c r="K47" s="1731"/>
      <c r="L47" s="1645"/>
      <c r="M47" s="1217"/>
      <c r="N47" s="1767"/>
      <c r="O47" s="1744" t="s">
        <v>4452</v>
      </c>
      <c r="P47" s="1826" t="str">
        <f>IF('Part VII-Threshold Criteria OLD'!$P$346="Agree","Yes","")</f>
        <v/>
      </c>
      <c r="Q47" s="142"/>
      <c r="R47" s="646" t="s">
        <v>3280</v>
      </c>
      <c r="S47" s="1641" t="s">
        <v>3912</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3678</v>
      </c>
      <c r="C48" s="1642"/>
      <c r="D48" s="1643"/>
      <c r="E48" s="1643"/>
      <c r="F48" s="1643"/>
      <c r="G48" s="1644">
        <v>4</v>
      </c>
      <c r="H48" s="1645">
        <v>4</v>
      </c>
      <c r="I48" s="1644">
        <v>4</v>
      </c>
      <c r="J48" s="1731">
        <v>4</v>
      </c>
      <c r="K48" s="1731">
        <v>4</v>
      </c>
      <c r="L48" s="1645">
        <v>4</v>
      </c>
      <c r="M48" s="1761" t="s">
        <v>2437</v>
      </c>
      <c r="N48" s="1762"/>
      <c r="O48" s="1763"/>
      <c r="P48" s="1173"/>
      <c r="R48" s="646" t="s">
        <v>2075</v>
      </c>
      <c r="S48" s="1641" t="s">
        <v>3678</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4442</v>
      </c>
      <c r="C49" s="1642"/>
      <c r="D49" s="1643"/>
      <c r="E49" s="1643"/>
      <c r="F49" s="1643"/>
      <c r="G49" s="1644">
        <v>2</v>
      </c>
      <c r="H49" s="1645">
        <v>2</v>
      </c>
      <c r="I49" s="1644">
        <v>2</v>
      </c>
      <c r="J49" s="1731">
        <v>2</v>
      </c>
      <c r="K49" s="1731">
        <v>2</v>
      </c>
      <c r="L49" s="1645">
        <v>2</v>
      </c>
      <c r="M49" s="1764" t="s">
        <v>4453</v>
      </c>
      <c r="N49" s="1765"/>
      <c r="O49" s="1766"/>
      <c r="P49" s="805"/>
      <c r="R49" s="646" t="s">
        <v>3280</v>
      </c>
      <c r="S49" s="1641" t="s">
        <v>4442</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4591</v>
      </c>
      <c r="AR49" s="223"/>
      <c r="AS49" s="72"/>
      <c r="AT49" s="1822" t="e">
        <f>#REF!+#REF!+#REF!</f>
        <v>#REF!</v>
      </c>
    </row>
    <row r="50" spans="1:46" s="115" customFormat="1" ht="10.5" customHeight="1">
      <c r="A50" s="646" t="s">
        <v>3281</v>
      </c>
      <c r="B50" s="1641" t="s">
        <v>4443</v>
      </c>
      <c r="C50" s="1642"/>
      <c r="D50" s="1643"/>
      <c r="E50" s="1643"/>
      <c r="F50" s="1643"/>
      <c r="G50" s="1644">
        <v>2</v>
      </c>
      <c r="H50" s="1645">
        <v>2</v>
      </c>
      <c r="I50" s="1644">
        <v>2</v>
      </c>
      <c r="J50" s="1731">
        <v>2</v>
      </c>
      <c r="K50" s="1731">
        <v>2</v>
      </c>
      <c r="L50" s="1645">
        <v>2</v>
      </c>
      <c r="M50" s="147" t="s">
        <v>4454</v>
      </c>
      <c r="N50" s="72"/>
      <c r="O50" s="72"/>
      <c r="P50" s="455" t="e">
        <f>#REF!</f>
        <v>#REF!</v>
      </c>
      <c r="R50" s="646" t="s">
        <v>3281</v>
      </c>
      <c r="S50" s="1641" t="s">
        <v>4443</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4582</v>
      </c>
      <c r="AR50" s="1457"/>
      <c r="AS50" s="1457"/>
      <c r="AT50" s="1823" t="e">
        <f>#REF!+#REF!-#REF!-#REF!</f>
        <v>#REF!</v>
      </c>
    </row>
    <row r="51" spans="1:46" s="115" customFormat="1" ht="10.5" customHeight="1">
      <c r="A51" s="646" t="s">
        <v>3279</v>
      </c>
      <c r="B51" s="1641" t="s">
        <v>4448</v>
      </c>
      <c r="C51" s="1642"/>
      <c r="D51" s="1643"/>
      <c r="E51" s="1643"/>
      <c r="F51" s="1643"/>
      <c r="G51" s="1644">
        <v>2</v>
      </c>
      <c r="H51" s="1645"/>
      <c r="I51" s="1644"/>
      <c r="J51" s="1731">
        <v>2</v>
      </c>
      <c r="K51" s="1731">
        <v>2</v>
      </c>
      <c r="L51" s="1645">
        <v>2</v>
      </c>
      <c r="Q51" s="142"/>
      <c r="R51" s="646" t="s">
        <v>3279</v>
      </c>
      <c r="S51" s="1641" t="s">
        <v>4448</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4029</v>
      </c>
      <c r="C52" s="1642"/>
      <c r="D52" s="1643"/>
      <c r="E52" s="1643"/>
      <c r="F52" s="1643"/>
      <c r="G52" s="1644">
        <v>2</v>
      </c>
      <c r="H52" s="1645"/>
      <c r="I52" s="1644"/>
      <c r="J52" s="1731">
        <v>2</v>
      </c>
      <c r="K52" s="1731">
        <v>2</v>
      </c>
      <c r="L52" s="1645">
        <v>2</v>
      </c>
      <c r="M52" s="4620" t="s">
        <v>4627</v>
      </c>
      <c r="N52" s="4621"/>
      <c r="O52" s="4621"/>
      <c r="P52" s="4621"/>
      <c r="Q52" s="391"/>
      <c r="R52" s="646" t="s">
        <v>3282</v>
      </c>
      <c r="S52" s="1641" t="s">
        <v>4029</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620"/>
      <c r="N53" s="4621"/>
      <c r="O53" s="4621"/>
      <c r="P53" s="4621"/>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622"/>
      <c r="N54" s="4623"/>
      <c r="O54" s="4623"/>
      <c r="P54" s="4623"/>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488" t="s">
        <v>4603</v>
      </c>
      <c r="N55" s="4489"/>
      <c r="O55" s="4489"/>
      <c r="P55" s="4490"/>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4030</v>
      </c>
      <c r="C56" s="1642"/>
      <c r="D56" s="1643"/>
      <c r="E56" s="1643"/>
      <c r="F56" s="1643"/>
      <c r="G56" s="1644">
        <v>10</v>
      </c>
      <c r="H56" s="1645">
        <v>10</v>
      </c>
      <c r="I56" s="1644">
        <v>10</v>
      </c>
      <c r="J56" s="1731">
        <v>10</v>
      </c>
      <c r="K56" s="1731">
        <v>10</v>
      </c>
      <c r="L56" s="1645">
        <v>10</v>
      </c>
      <c r="M56" s="4491"/>
      <c r="N56" s="4492"/>
      <c r="O56" s="4492"/>
      <c r="P56" s="4493"/>
      <c r="R56" s="646" t="s">
        <v>3288</v>
      </c>
      <c r="S56" s="1641" t="s">
        <v>4030</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4444</v>
      </c>
      <c r="C57" s="1642"/>
      <c r="D57" s="1643"/>
      <c r="E57" s="1643"/>
      <c r="F57" s="1643"/>
      <c r="G57" s="1644">
        <v>3</v>
      </c>
      <c r="H57" s="1645">
        <v>3</v>
      </c>
      <c r="I57" s="1644">
        <v>3</v>
      </c>
      <c r="J57" s="1731">
        <v>3</v>
      </c>
      <c r="K57" s="1731">
        <v>3</v>
      </c>
      <c r="L57" s="1645">
        <v>3</v>
      </c>
      <c r="R57" s="646" t="s">
        <v>3289</v>
      </c>
      <c r="S57" s="1641" t="s">
        <v>4444</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4031</v>
      </c>
      <c r="C58" s="1642"/>
      <c r="D58" s="1643"/>
      <c r="E58" s="1643"/>
      <c r="F58" s="1643"/>
      <c r="G58" s="1644"/>
      <c r="H58" s="1645"/>
      <c r="I58" s="1644">
        <v>6</v>
      </c>
      <c r="J58" s="1731">
        <v>6</v>
      </c>
      <c r="K58" s="1731">
        <v>6</v>
      </c>
      <c r="L58" s="1645">
        <v>6</v>
      </c>
      <c r="M58" s="4486" t="s">
        <v>4039</v>
      </c>
      <c r="N58" s="4487"/>
      <c r="O58" s="4487"/>
      <c r="P58" s="4487"/>
      <c r="Q58" s="142"/>
      <c r="R58" s="646" t="s">
        <v>3290</v>
      </c>
      <c r="S58" s="1641" t="s">
        <v>4031</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4445</v>
      </c>
      <c r="C59" s="1642"/>
      <c r="D59" s="1643"/>
      <c r="E59" s="1643"/>
      <c r="F59" s="1643"/>
      <c r="G59" s="1644"/>
      <c r="H59" s="1645"/>
      <c r="I59" s="1644">
        <v>6</v>
      </c>
      <c r="J59" s="1731">
        <v>6</v>
      </c>
      <c r="K59" s="1731">
        <v>6</v>
      </c>
      <c r="L59" s="1645">
        <v>6</v>
      </c>
      <c r="M59" s="4618"/>
      <c r="N59" s="4619"/>
      <c r="O59" s="4619"/>
      <c r="P59" s="4619"/>
      <c r="Q59" s="142"/>
      <c r="R59" s="646" t="s">
        <v>3291</v>
      </c>
      <c r="S59" s="1641" t="s">
        <v>4445</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3677</v>
      </c>
      <c r="B60" s="1641" t="s">
        <v>4446</v>
      </c>
      <c r="C60" s="1642"/>
      <c r="D60" s="1643"/>
      <c r="E60" s="1643"/>
      <c r="F60" s="1643"/>
      <c r="G60" s="1644"/>
      <c r="H60" s="1645"/>
      <c r="I60" s="1644">
        <v>4</v>
      </c>
      <c r="J60" s="1731">
        <v>4</v>
      </c>
      <c r="K60" s="1731">
        <v>4</v>
      </c>
      <c r="L60" s="1645">
        <v>4</v>
      </c>
      <c r="M60" s="4349" t="s">
        <v>4604</v>
      </c>
      <c r="N60" s="4350"/>
      <c r="O60" s="4350"/>
      <c r="P60" s="4351"/>
      <c r="R60" s="646" t="s">
        <v>3677</v>
      </c>
      <c r="S60" s="1641" t="s">
        <v>4446</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4449</v>
      </c>
      <c r="B61" s="1646" t="s">
        <v>4447</v>
      </c>
      <c r="C61" s="1647"/>
      <c r="D61" s="1648"/>
      <c r="E61" s="1648"/>
      <c r="F61" s="1648"/>
      <c r="G61" s="1649"/>
      <c r="H61" s="1650"/>
      <c r="I61" s="1649">
        <v>6</v>
      </c>
      <c r="J61" s="1907">
        <v>4</v>
      </c>
      <c r="K61" s="1907">
        <v>6</v>
      </c>
      <c r="L61" s="1650">
        <v>4</v>
      </c>
      <c r="M61" s="4352"/>
      <c r="N61" s="4353"/>
      <c r="O61" s="4353"/>
      <c r="P61" s="4354"/>
      <c r="Q61" s="142"/>
      <c r="R61" s="646" t="s">
        <v>4449</v>
      </c>
      <c r="S61" s="1646" t="s">
        <v>4447</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4139</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3703</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3679</v>
      </c>
      <c r="D66" s="41"/>
      <c r="E66" s="41"/>
      <c r="F66" s="878"/>
      <c r="N66" s="48" t="s">
        <v>1836</v>
      </c>
      <c r="P66" s="1521">
        <f>SUM(P67:P69)</f>
        <v>0</v>
      </c>
      <c r="Q66" s="29" t="s">
        <v>4137</v>
      </c>
    </row>
    <row r="67" spans="1:20" s="36" customFormat="1" ht="12.75" customHeight="1">
      <c r="A67" s="107"/>
      <c r="B67" s="1522" t="s">
        <v>1839</v>
      </c>
      <c r="C67" s="81" t="s">
        <v>3682</v>
      </c>
      <c r="D67" s="41"/>
      <c r="E67" s="41"/>
      <c r="F67" s="878"/>
      <c r="H67" s="147" t="s">
        <v>3089</v>
      </c>
      <c r="J67" s="42"/>
      <c r="N67" s="316" t="s">
        <v>1839</v>
      </c>
      <c r="P67" s="889">
        <f>F75</f>
        <v>0</v>
      </c>
    </row>
    <row r="68" spans="1:20" s="36" customFormat="1" ht="12.75" customHeight="1">
      <c r="A68" s="107"/>
      <c r="B68" s="1522" t="s">
        <v>1841</v>
      </c>
      <c r="C68" s="81" t="s">
        <v>4136</v>
      </c>
      <c r="D68" s="41"/>
      <c r="E68" s="41"/>
      <c r="F68" s="878"/>
      <c r="H68" s="147" t="s">
        <v>3680</v>
      </c>
      <c r="J68" s="42"/>
      <c r="N68" s="316" t="s">
        <v>1841</v>
      </c>
      <c r="P68" s="1118">
        <f>J75</f>
        <v>0</v>
      </c>
    </row>
    <row r="69" spans="1:20" s="36" customFormat="1" ht="12.75" customHeight="1">
      <c r="A69" s="107"/>
      <c r="B69" s="1522" t="s">
        <v>2326</v>
      </c>
      <c r="C69" s="81" t="s">
        <v>3681</v>
      </c>
      <c r="D69" s="41"/>
      <c r="E69" s="41"/>
      <c r="F69" s="878"/>
      <c r="H69" s="147" t="s">
        <v>3685</v>
      </c>
      <c r="J69" s="42"/>
      <c r="N69" s="316" t="s">
        <v>2326</v>
      </c>
      <c r="P69" s="1119"/>
    </row>
    <row r="70" spans="1:20" s="36" customFormat="1" ht="12.75" customHeight="1">
      <c r="C70" s="4401" t="s">
        <v>3769</v>
      </c>
      <c r="D70" s="4402"/>
      <c r="E70" s="4402"/>
      <c r="F70" s="4402"/>
      <c r="G70" s="4402"/>
      <c r="H70" s="4402"/>
      <c r="I70" s="4402"/>
      <c r="J70" s="4402"/>
      <c r="K70" s="4402"/>
      <c r="L70" s="4402"/>
      <c r="M70" s="4402"/>
      <c r="N70" s="4402"/>
      <c r="O70" s="4402"/>
      <c r="P70" s="440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4137</v>
      </c>
    </row>
    <row r="73" spans="1:20" s="36" customFormat="1" ht="3" customHeight="1">
      <c r="A73" s="455"/>
      <c r="B73" s="452"/>
      <c r="C73" s="453"/>
      <c r="D73" s="108"/>
      <c r="K73" s="676"/>
      <c r="L73" s="676"/>
      <c r="M73" s="457"/>
      <c r="N73" s="316"/>
      <c r="O73" s="679"/>
      <c r="P73" s="679"/>
    </row>
    <row r="74" spans="1:20" s="35" customFormat="1" ht="12.75" customHeight="1">
      <c r="A74" s="4315" t="s">
        <v>3972</v>
      </c>
      <c r="B74" s="4315"/>
      <c r="C74" s="4315"/>
      <c r="D74" s="4315"/>
      <c r="E74" s="4315"/>
      <c r="F74" s="1117" t="s">
        <v>3301</v>
      </c>
      <c r="G74" s="4473" t="s">
        <v>3974</v>
      </c>
      <c r="H74" s="4473"/>
      <c r="I74" s="4473"/>
      <c r="J74" s="1117" t="s">
        <v>3301</v>
      </c>
      <c r="K74" s="4477" t="s">
        <v>3973</v>
      </c>
      <c r="L74" s="4477"/>
      <c r="M74" s="4477"/>
      <c r="N74" s="4477"/>
      <c r="O74" s="4471" t="s">
        <v>3301</v>
      </c>
      <c r="P74" s="4472"/>
      <c r="R74" s="355"/>
      <c r="S74" s="125"/>
    </row>
    <row r="75" spans="1:20" s="35" customFormat="1" ht="12.75" customHeight="1">
      <c r="A75" s="4470"/>
      <c r="B75" s="4470"/>
      <c r="C75" s="4470"/>
      <c r="D75" s="4470"/>
      <c r="E75" s="4470"/>
      <c r="F75" s="57">
        <f>SUM(F76:F87)</f>
        <v>0</v>
      </c>
      <c r="G75" s="4474"/>
      <c r="H75" s="4475"/>
      <c r="I75" s="4476"/>
      <c r="J75" s="57">
        <f>SUM(J76:J87)</f>
        <v>0</v>
      </c>
      <c r="K75" s="4478"/>
      <c r="L75" s="4479"/>
      <c r="M75" s="4479"/>
      <c r="N75" s="4480"/>
      <c r="O75" s="4461">
        <f>SUM(O76:O87)</f>
        <v>0</v>
      </c>
      <c r="P75" s="4462"/>
      <c r="Q75" s="355"/>
      <c r="R75" s="125"/>
    </row>
    <row r="76" spans="1:20" s="35" customFormat="1" ht="24.75" customHeight="1">
      <c r="A76" s="4463">
        <v>1</v>
      </c>
      <c r="B76" s="4464"/>
      <c r="C76" s="4464"/>
      <c r="D76" s="4464"/>
      <c r="E76" s="4465"/>
      <c r="F76" s="667"/>
      <c r="G76" s="4463">
        <v>1</v>
      </c>
      <c r="H76" s="4464"/>
      <c r="I76" s="4465"/>
      <c r="J76" s="670" t="s">
        <v>1607</v>
      </c>
      <c r="K76" s="4466">
        <v>1</v>
      </c>
      <c r="L76" s="4467"/>
      <c r="M76" s="4467"/>
      <c r="N76" s="4467"/>
      <c r="O76" s="4468" t="s">
        <v>1607</v>
      </c>
      <c r="P76" s="4469"/>
      <c r="Q76" s="353" t="s">
        <v>1179</v>
      </c>
      <c r="R76" s="125"/>
    </row>
    <row r="77" spans="1:20" s="35" customFormat="1" ht="24.75" customHeight="1">
      <c r="A77" s="4360">
        <v>2</v>
      </c>
      <c r="B77" s="4361"/>
      <c r="C77" s="4361"/>
      <c r="D77" s="4361"/>
      <c r="E77" s="4362"/>
      <c r="F77" s="668"/>
      <c r="G77" s="4360">
        <v>2</v>
      </c>
      <c r="H77" s="4361"/>
      <c r="I77" s="4362"/>
      <c r="J77" s="668"/>
      <c r="K77" s="4394">
        <v>2</v>
      </c>
      <c r="L77" s="4395"/>
      <c r="M77" s="4395"/>
      <c r="N77" s="4395"/>
      <c r="O77" s="4355"/>
      <c r="P77" s="4356"/>
      <c r="Q77" s="354"/>
      <c r="R77" s="125"/>
    </row>
    <row r="78" spans="1:20" s="35" customFormat="1" ht="24.75" customHeight="1">
      <c r="A78" s="4360">
        <v>3</v>
      </c>
      <c r="B78" s="4361"/>
      <c r="C78" s="4361"/>
      <c r="D78" s="4361"/>
      <c r="E78" s="4362"/>
      <c r="F78" s="668"/>
      <c r="G78" s="4360">
        <v>3</v>
      </c>
      <c r="H78" s="4361"/>
      <c r="I78" s="4362"/>
      <c r="J78" s="921" t="s">
        <v>2569</v>
      </c>
      <c r="K78" s="4394">
        <v>3</v>
      </c>
      <c r="L78" s="4395"/>
      <c r="M78" s="4395"/>
      <c r="N78" s="4395"/>
      <c r="O78" s="4581" t="s">
        <v>2569</v>
      </c>
      <c r="P78" s="4582"/>
      <c r="Q78" s="4624" t="s">
        <v>3683</v>
      </c>
      <c r="R78" s="4625"/>
      <c r="S78" s="1120"/>
      <c r="T78" s="1120"/>
    </row>
    <row r="79" spans="1:20" s="35" customFormat="1" ht="24.75" customHeight="1">
      <c r="A79" s="4360">
        <v>4</v>
      </c>
      <c r="B79" s="4361"/>
      <c r="C79" s="4361"/>
      <c r="D79" s="4361"/>
      <c r="E79" s="4362"/>
      <c r="F79" s="668"/>
      <c r="G79" s="4360">
        <v>4</v>
      </c>
      <c r="H79" s="4361"/>
      <c r="I79" s="4362"/>
      <c r="J79" s="668"/>
      <c r="K79" s="4394">
        <v>4</v>
      </c>
      <c r="L79" s="4395"/>
      <c r="M79" s="4395"/>
      <c r="N79" s="4395"/>
      <c r="O79" s="4581" t="s">
        <v>2569</v>
      </c>
      <c r="P79" s="4582"/>
      <c r="Q79" s="4624"/>
      <c r="R79" s="4625"/>
      <c r="S79" s="1120"/>
      <c r="T79" s="1120"/>
    </row>
    <row r="80" spans="1:20" s="35" customFormat="1" ht="24.75" customHeight="1">
      <c r="A80" s="4360">
        <v>5</v>
      </c>
      <c r="B80" s="4361"/>
      <c r="C80" s="4361"/>
      <c r="D80" s="4361"/>
      <c r="E80" s="4362"/>
      <c r="F80" s="668"/>
      <c r="G80" s="4360">
        <v>5</v>
      </c>
      <c r="H80" s="4361"/>
      <c r="I80" s="4362"/>
      <c r="J80" s="921" t="s">
        <v>3059</v>
      </c>
      <c r="K80" s="4394">
        <v>5</v>
      </c>
      <c r="L80" s="4395"/>
      <c r="M80" s="4395"/>
      <c r="N80" s="4395"/>
      <c r="O80" s="4355"/>
      <c r="P80" s="4356"/>
      <c r="Q80" s="4624"/>
      <c r="R80" s="4625"/>
      <c r="S80" s="1120"/>
      <c r="T80" s="1120"/>
    </row>
    <row r="81" spans="1:19" s="35" customFormat="1" ht="24" customHeight="1">
      <c r="A81" s="4360">
        <v>6</v>
      </c>
      <c r="B81" s="4361"/>
      <c r="C81" s="4361"/>
      <c r="D81" s="4361"/>
      <c r="E81" s="4362"/>
      <c r="F81" s="668"/>
      <c r="G81" s="4360">
        <v>6</v>
      </c>
      <c r="H81" s="4361"/>
      <c r="I81" s="4362"/>
      <c r="J81" s="668"/>
      <c r="K81" s="4394">
        <v>6</v>
      </c>
      <c r="L81" s="4395"/>
      <c r="M81" s="4395"/>
      <c r="N81" s="4395"/>
      <c r="O81" s="4355"/>
      <c r="P81" s="4356"/>
      <c r="Q81" s="4624"/>
      <c r="R81" s="4625"/>
    </row>
    <row r="82" spans="1:19" s="35" customFormat="1" ht="24.75" customHeight="1">
      <c r="A82" s="4360">
        <v>7</v>
      </c>
      <c r="B82" s="4361"/>
      <c r="C82" s="4361"/>
      <c r="D82" s="4361"/>
      <c r="E82" s="4362"/>
      <c r="F82" s="668"/>
      <c r="G82" s="4360">
        <v>7</v>
      </c>
      <c r="H82" s="4361"/>
      <c r="I82" s="4362"/>
      <c r="J82" s="921" t="s">
        <v>3060</v>
      </c>
      <c r="K82" s="4394">
        <v>7</v>
      </c>
      <c r="L82" s="4395"/>
      <c r="M82" s="4395"/>
      <c r="N82" s="4395"/>
      <c r="O82" s="4355"/>
      <c r="P82" s="4356"/>
      <c r="Q82" s="125"/>
      <c r="R82" s="125"/>
    </row>
    <row r="83" spans="1:19" s="35" customFormat="1" ht="24.75" customHeight="1">
      <c r="A83" s="4360">
        <v>8</v>
      </c>
      <c r="B83" s="4361"/>
      <c r="C83" s="4361"/>
      <c r="D83" s="4361"/>
      <c r="E83" s="4362"/>
      <c r="F83" s="668"/>
      <c r="G83" s="4360">
        <v>8</v>
      </c>
      <c r="H83" s="4361"/>
      <c r="I83" s="4362"/>
      <c r="J83" s="668"/>
      <c r="K83" s="4394">
        <v>8</v>
      </c>
      <c r="L83" s="4395"/>
      <c r="M83" s="4395"/>
      <c r="N83" s="4395"/>
      <c r="O83" s="4355"/>
      <c r="P83" s="4356"/>
      <c r="Q83" s="125"/>
      <c r="R83" s="125"/>
    </row>
    <row r="84" spans="1:19" s="35" customFormat="1" ht="24.75" customHeight="1">
      <c r="A84" s="4360">
        <v>9</v>
      </c>
      <c r="B84" s="4361"/>
      <c r="C84" s="4361"/>
      <c r="D84" s="4361"/>
      <c r="E84" s="4362"/>
      <c r="F84" s="668"/>
      <c r="G84" s="4360">
        <v>9</v>
      </c>
      <c r="H84" s="4361"/>
      <c r="I84" s="4362"/>
      <c r="J84" s="921" t="s">
        <v>3061</v>
      </c>
      <c r="K84" s="4394">
        <v>9</v>
      </c>
      <c r="L84" s="4395"/>
      <c r="M84" s="4395"/>
      <c r="N84" s="4395"/>
      <c r="O84" s="4355"/>
      <c r="P84" s="4356"/>
      <c r="Q84" s="125"/>
      <c r="R84" s="125"/>
    </row>
    <row r="85" spans="1:19" s="35" customFormat="1" ht="24.75" customHeight="1">
      <c r="A85" s="4360">
        <v>10</v>
      </c>
      <c r="B85" s="4361"/>
      <c r="C85" s="4361"/>
      <c r="D85" s="4361"/>
      <c r="E85" s="4362"/>
      <c r="F85" s="668"/>
      <c r="G85" s="4360">
        <v>10</v>
      </c>
      <c r="H85" s="4361"/>
      <c r="I85" s="4362"/>
      <c r="J85" s="668"/>
      <c r="K85" s="4394">
        <v>10</v>
      </c>
      <c r="L85" s="4395"/>
      <c r="M85" s="4395"/>
      <c r="N85" s="4395"/>
      <c r="O85" s="4355"/>
      <c r="P85" s="4356"/>
      <c r="Q85" s="125"/>
    </row>
    <row r="86" spans="1:19" s="35" customFormat="1" ht="24.75" customHeight="1">
      <c r="A86" s="4360">
        <v>11</v>
      </c>
      <c r="B86" s="4361"/>
      <c r="C86" s="4361"/>
      <c r="D86" s="4361"/>
      <c r="E86" s="4362"/>
      <c r="F86" s="668"/>
      <c r="G86" s="4360">
        <v>11</v>
      </c>
      <c r="H86" s="4361"/>
      <c r="I86" s="4362"/>
      <c r="J86" s="921" t="s">
        <v>3062</v>
      </c>
      <c r="K86" s="4360">
        <v>11</v>
      </c>
      <c r="L86" s="4361"/>
      <c r="M86" s="4361"/>
      <c r="N86" s="4362"/>
      <c r="O86" s="4355"/>
      <c r="P86" s="4356"/>
      <c r="Q86" s="125"/>
      <c r="R86" s="125"/>
    </row>
    <row r="87" spans="1:19" s="35" customFormat="1" ht="24.75" customHeight="1">
      <c r="A87" s="4380">
        <v>12</v>
      </c>
      <c r="B87" s="4381"/>
      <c r="C87" s="4381"/>
      <c r="D87" s="4381"/>
      <c r="E87" s="4382"/>
      <c r="F87" s="669"/>
      <c r="G87" s="4380">
        <v>12</v>
      </c>
      <c r="H87" s="4381"/>
      <c r="I87" s="4382"/>
      <c r="J87" s="669"/>
      <c r="K87" s="4380">
        <v>12</v>
      </c>
      <c r="L87" s="4381"/>
      <c r="M87" s="4381"/>
      <c r="N87" s="4382"/>
      <c r="O87" s="4383"/>
      <c r="P87" s="438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3799</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3692</v>
      </c>
      <c r="G90" s="67"/>
      <c r="H90" s="29"/>
      <c r="I90" s="38"/>
      <c r="K90" s="404"/>
      <c r="L90" s="671"/>
      <c r="M90" s="119"/>
      <c r="N90" s="5"/>
      <c r="O90" s="3"/>
      <c r="P90" s="3"/>
      <c r="Q90" s="86"/>
      <c r="R90" s="307"/>
    </row>
    <row r="91" spans="1:19" s="36" customFormat="1" ht="13.5" customHeight="1">
      <c r="A91" s="107" t="s">
        <v>1836</v>
      </c>
      <c r="B91" s="153" t="s">
        <v>4040</v>
      </c>
      <c r="E91" s="32"/>
      <c r="G91" s="67"/>
      <c r="H91" s="44" t="s">
        <v>4539</v>
      </c>
      <c r="I91" s="1178" t="e">
        <f>#REF!</f>
        <v>#REF!</v>
      </c>
      <c r="M91" s="119"/>
      <c r="N91" s="5"/>
      <c r="P91" s="1853" t="e">
        <f>IF(AND(O89&gt;0,NOT($M$55="New Supply")), "Ineligible to score in this section, not New Supply!","")</f>
        <v>#REF!</v>
      </c>
      <c r="Q91" s="5"/>
      <c r="R91" s="307"/>
    </row>
    <row r="92" spans="1:19" s="70" customFormat="1" ht="9" customHeight="1">
      <c r="A92" s="107"/>
      <c r="B92" s="4615" t="s">
        <v>3686</v>
      </c>
      <c r="C92" s="4615"/>
      <c r="D92" s="4615"/>
      <c r="E92" s="4615"/>
      <c r="F92" s="4615"/>
      <c r="G92" s="4615"/>
      <c r="H92" s="4615"/>
      <c r="I92" s="4615"/>
      <c r="J92" s="4615"/>
      <c r="K92" s="4615"/>
      <c r="L92" s="4615"/>
      <c r="M92" s="119"/>
      <c r="N92" s="5"/>
      <c r="Q92" s="5"/>
      <c r="R92" s="307"/>
    </row>
    <row r="93" spans="1:19" s="70" customFormat="1" ht="13.5" customHeight="1">
      <c r="B93" s="4615"/>
      <c r="C93" s="4615"/>
      <c r="D93" s="4615"/>
      <c r="E93" s="4615"/>
      <c r="F93" s="4615"/>
      <c r="G93" s="4615"/>
      <c r="H93" s="4615"/>
      <c r="I93" s="4615"/>
      <c r="J93" s="4615"/>
      <c r="K93" s="4615"/>
      <c r="L93" s="4615"/>
      <c r="M93" s="674">
        <v>2</v>
      </c>
      <c r="N93" s="316" t="s">
        <v>1836</v>
      </c>
      <c r="O93" s="680" t="e">
        <f>IF(AND(OR($J$89="9%",$J$89="4%"),$L$89="New Supply"),MIN($M93,O94+O95),0)</f>
        <v>#REF!</v>
      </c>
      <c r="P93" s="680" t="e">
        <f>IF(NOT($J$89="9%"),0,MIN($M93, P94+P95))</f>
        <v>#REF!</v>
      </c>
    </row>
    <row r="94" spans="1:19" s="70" customFormat="1" ht="13.5" customHeight="1">
      <c r="A94" s="107"/>
      <c r="B94" s="1134" t="s">
        <v>1839</v>
      </c>
      <c r="C94" s="1124" t="s">
        <v>3687</v>
      </c>
      <c r="D94" s="29"/>
      <c r="H94" s="29" t="s">
        <v>3688</v>
      </c>
      <c r="I94" s="1123"/>
      <c r="J94" s="1180" t="e">
        <f>#REF!</f>
        <v>#REF!</v>
      </c>
      <c r="L94" s="4564" t="str">
        <f>IF(AND(O94&gt;0,O95&gt;0), "CHOOSE EITHER A OR B, NOT BOTH!", "")</f>
        <v/>
      </c>
      <c r="M94" s="457">
        <v>2</v>
      </c>
      <c r="N94" s="150" t="s">
        <v>1839</v>
      </c>
      <c r="O94" s="405"/>
      <c r="P94" s="413"/>
      <c r="Q94" s="1153" t="str">
        <f>IF(OR($O94=$M94,$O94=0,$O94=""),"","*CHECK!*")</f>
        <v/>
      </c>
      <c r="R94" s="782" t="s">
        <v>3926</v>
      </c>
    </row>
    <row r="95" spans="1:19" s="70" customFormat="1" ht="13.5" customHeight="1">
      <c r="A95" s="395" t="s">
        <v>2917</v>
      </c>
      <c r="B95" s="1134" t="s">
        <v>1841</v>
      </c>
      <c r="C95" s="1124" t="s">
        <v>3689</v>
      </c>
      <c r="D95" s="29"/>
      <c r="I95" s="1123"/>
      <c r="K95" s="29"/>
      <c r="L95" s="4564"/>
      <c r="M95" s="457">
        <v>2</v>
      </c>
      <c r="N95" s="150" t="s">
        <v>1841</v>
      </c>
      <c r="O95" s="406"/>
      <c r="P95" s="414"/>
      <c r="Q95" s="1153" t="str">
        <f>IF(OR($O95=$M95,$O95=0,$O95=""),"","*CHECK!*")</f>
        <v/>
      </c>
      <c r="R95" s="782" t="s">
        <v>3926</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365" t="s">
        <v>3690</v>
      </c>
      <c r="I97" s="4366"/>
      <c r="J97" s="1127" t="s">
        <v>3691</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4"/>
      <c r="B101" s="4115"/>
      <c r="C101" s="4115"/>
      <c r="D101" s="4115"/>
      <c r="E101" s="4115"/>
      <c r="F101" s="4115"/>
      <c r="G101" s="4115"/>
      <c r="H101" s="4115"/>
      <c r="I101" s="4115"/>
      <c r="J101" s="4115"/>
      <c r="K101" s="4115"/>
      <c r="L101" s="4115"/>
      <c r="M101" s="4115"/>
      <c r="N101" s="4115"/>
      <c r="O101" s="4115"/>
      <c r="P101" s="4116"/>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385" t="s">
        <v>3913</v>
      </c>
      <c r="J106" s="4386"/>
      <c r="K106" s="4386"/>
      <c r="L106" s="4387"/>
      <c r="M106" s="457">
        <v>20</v>
      </c>
      <c r="N106" s="150" t="s">
        <v>1836</v>
      </c>
      <c r="O106" s="1675"/>
      <c r="P106" s="1676"/>
      <c r="Q106" s="1153"/>
      <c r="R106" s="782" t="s">
        <v>3926</v>
      </c>
    </row>
    <row r="107" spans="1:18" s="70" customFormat="1" ht="12.75" customHeight="1">
      <c r="A107" s="107" t="s">
        <v>1838</v>
      </c>
      <c r="B107" s="141" t="s">
        <v>3194</v>
      </c>
      <c r="D107" s="867"/>
      <c r="F107" s="1179"/>
      <c r="H107" s="646" t="s">
        <v>3248</v>
      </c>
      <c r="I107" s="4388"/>
      <c r="J107" s="4389"/>
      <c r="K107" s="4389"/>
      <c r="L107" s="4390"/>
      <c r="M107" s="878" t="s">
        <v>1163</v>
      </c>
      <c r="N107" s="48" t="s">
        <v>1838</v>
      </c>
      <c r="O107" s="1677"/>
      <c r="P107" s="1678"/>
      <c r="R107" s="782" t="s">
        <v>3926</v>
      </c>
    </row>
    <row r="108" spans="1:18" s="36" customFormat="1" ht="12.75" customHeight="1" thickBot="1">
      <c r="A108" s="35"/>
      <c r="B108" s="924" t="s">
        <v>3155</v>
      </c>
      <c r="C108" s="35"/>
      <c r="D108" s="41"/>
      <c r="E108" s="41"/>
      <c r="F108" s="41"/>
      <c r="G108" s="41"/>
      <c r="H108" s="29"/>
      <c r="I108" s="4391"/>
      <c r="J108" s="4392"/>
      <c r="K108" s="4392"/>
      <c r="L108" s="4393"/>
      <c r="M108" s="39"/>
      <c r="N108" s="47"/>
      <c r="O108" s="3"/>
      <c r="P108" s="24"/>
    </row>
    <row r="109" spans="1:18" s="36" customFormat="1" ht="90" customHeight="1" thickTop="1" thickBot="1">
      <c r="A109" s="4342"/>
      <c r="B109" s="4343"/>
      <c r="C109" s="4343"/>
      <c r="D109" s="4343"/>
      <c r="E109" s="4343"/>
      <c r="F109" s="4343"/>
      <c r="G109" s="4343"/>
      <c r="H109" s="4343"/>
      <c r="I109" s="4343"/>
      <c r="J109" s="4343"/>
      <c r="K109" s="4343"/>
      <c r="L109" s="4343"/>
      <c r="M109" s="4343"/>
      <c r="N109" s="4343"/>
      <c r="O109" s="4343"/>
      <c r="P109" s="434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4"/>
      <c r="B111" s="4115"/>
      <c r="C111" s="4115"/>
      <c r="D111" s="4115"/>
      <c r="E111" s="4115"/>
      <c r="F111" s="4115"/>
      <c r="G111" s="4115"/>
      <c r="H111" s="4115"/>
      <c r="I111" s="4115"/>
      <c r="J111" s="4115"/>
      <c r="K111" s="4115"/>
      <c r="L111" s="4115"/>
      <c r="M111" s="4115"/>
      <c r="N111" s="4115"/>
      <c r="O111" s="4115"/>
      <c r="P111" s="411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4043</v>
      </c>
      <c r="I113" s="1535" t="s">
        <v>4039</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3693</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3694</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4045</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4461</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4462</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4465</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447" t="s">
        <v>3130</v>
      </c>
      <c r="G123" s="4447"/>
      <c r="H123" s="4447"/>
      <c r="I123" s="4447"/>
      <c r="J123" s="4447" t="s">
        <v>3131</v>
      </c>
      <c r="K123" s="4447"/>
      <c r="L123" s="4447"/>
      <c r="M123" s="4447"/>
      <c r="N123" s="48"/>
      <c r="O123" s="4448" t="s">
        <v>3759</v>
      </c>
      <c r="P123" s="4449"/>
      <c r="Q123" s="86"/>
      <c r="R123" s="866"/>
      <c r="S123" s="866"/>
      <c r="T123" s="866"/>
      <c r="U123" s="866"/>
    </row>
    <row r="124" spans="1:21" s="36" customFormat="1" ht="12" customHeight="1">
      <c r="B124" s="1749"/>
      <c r="C124" s="1123" t="s">
        <v>4464</v>
      </c>
      <c r="E124" s="223"/>
      <c r="F124" s="4398"/>
      <c r="G124" s="4399"/>
      <c r="H124" s="4363"/>
      <c r="I124" s="4364"/>
      <c r="J124" s="4398"/>
      <c r="K124" s="4399"/>
      <c r="L124" s="4363"/>
      <c r="M124" s="4364"/>
      <c r="N124" s="48"/>
      <c r="Q124" s="86"/>
      <c r="R124" s="866"/>
      <c r="S124" s="866"/>
      <c r="T124" s="866"/>
      <c r="U124" s="866"/>
    </row>
    <row r="125" spans="1:21" s="36" customFormat="1" ht="12" customHeight="1">
      <c r="A125" s="1749"/>
      <c r="B125" s="1749"/>
      <c r="C125" s="1749"/>
      <c r="D125" s="236"/>
      <c r="E125" s="1748" t="s">
        <v>4046</v>
      </c>
      <c r="F125" s="4565"/>
      <c r="G125" s="4566"/>
      <c r="H125" s="4572"/>
      <c r="I125" s="4573"/>
      <c r="J125" s="4565"/>
      <c r="K125" s="4566"/>
      <c r="L125" s="4572"/>
      <c r="M125" s="4573"/>
      <c r="N125" s="48"/>
      <c r="O125" s="1229"/>
      <c r="P125" s="903"/>
      <c r="Q125" s="86"/>
      <c r="R125" s="866"/>
      <c r="S125" s="866"/>
      <c r="T125" s="866"/>
      <c r="U125" s="866"/>
    </row>
    <row r="126" spans="1:21" s="36" customFormat="1" ht="12" customHeight="1">
      <c r="A126" s="4578" t="s">
        <v>4571</v>
      </c>
      <c r="B126" s="4578"/>
      <c r="C126" s="1123" t="s">
        <v>4463</v>
      </c>
      <c r="E126" s="223"/>
      <c r="F126" s="4567"/>
      <c r="G126" s="4568"/>
      <c r="H126" s="4583"/>
      <c r="I126" s="4584"/>
      <c r="J126" s="4567"/>
      <c r="K126" s="4568"/>
      <c r="L126" s="4583"/>
      <c r="M126" s="4584"/>
      <c r="N126" s="48"/>
      <c r="O126" s="48"/>
      <c r="P126" s="48"/>
      <c r="Q126" s="86"/>
      <c r="R126" s="866"/>
      <c r="S126" s="866"/>
      <c r="T126" s="866"/>
      <c r="U126" s="866"/>
    </row>
    <row r="127" spans="1:21" s="36" customFormat="1" ht="12" customHeight="1">
      <c r="A127" s="4578"/>
      <c r="B127" s="4578"/>
      <c r="C127" s="236"/>
      <c r="D127" s="236"/>
      <c r="E127" s="1748" t="s">
        <v>3276</v>
      </c>
      <c r="F127" s="4444"/>
      <c r="G127" s="4445"/>
      <c r="H127" s="4570"/>
      <c r="I127" s="4571"/>
      <c r="J127" s="4444"/>
      <c r="K127" s="4445"/>
      <c r="L127" s="4570"/>
      <c r="M127" s="457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4594</v>
      </c>
      <c r="B129" s="83"/>
      <c r="D129" s="34"/>
      <c r="I129" s="4574" t="str">
        <f>IF(AND(O131&gt;0,O138&gt;0),"Pick A or B, not both!","")</f>
        <v/>
      </c>
      <c r="J129" s="4574"/>
      <c r="K129" s="4574" t="str">
        <f>IF(AND(P131&gt;0,P138&gt;0),"Pick A or B, not both!","")</f>
        <v/>
      </c>
      <c r="L129" s="457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4575</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4047</v>
      </c>
      <c r="D132" s="34"/>
      <c r="F132" s="38"/>
      <c r="M132" s="119"/>
      <c r="N132" s="316"/>
      <c r="O132" s="176"/>
      <c r="P132" s="420"/>
      <c r="Q132" s="86"/>
    </row>
    <row r="133" spans="1:21" s="331" customFormat="1" ht="25.5" customHeight="1">
      <c r="B133" s="349" t="s">
        <v>1839</v>
      </c>
      <c r="C133" s="4446" t="s">
        <v>4569</v>
      </c>
      <c r="D133" s="4446"/>
      <c r="E133" s="4446"/>
      <c r="F133" s="4446"/>
      <c r="G133" s="4446"/>
      <c r="H133" s="4446"/>
      <c r="I133" s="4446"/>
      <c r="J133" s="4446"/>
      <c r="K133" s="4446"/>
      <c r="L133" s="4446"/>
      <c r="M133" s="1758">
        <v>6</v>
      </c>
      <c r="N133" s="373" t="s">
        <v>1839</v>
      </c>
      <c r="O133" s="1820"/>
      <c r="P133" s="1821"/>
      <c r="Q133" s="1153"/>
      <c r="R133" s="782" t="s">
        <v>3926</v>
      </c>
    </row>
    <row r="134" spans="1:21" s="331" customFormat="1" ht="12" customHeight="1">
      <c r="A134" s="455" t="s">
        <v>1273</v>
      </c>
      <c r="B134" s="349" t="s">
        <v>1841</v>
      </c>
      <c r="C134" s="3517" t="s">
        <v>4570</v>
      </c>
      <c r="D134" s="3517"/>
      <c r="E134" s="3517"/>
      <c r="F134" s="3517"/>
      <c r="G134" s="853"/>
      <c r="J134" s="4450" t="s">
        <v>4566</v>
      </c>
      <c r="K134" s="4451"/>
      <c r="L134" s="4452"/>
      <c r="M134" s="457">
        <v>5</v>
      </c>
      <c r="N134" s="347" t="s">
        <v>1841</v>
      </c>
      <c r="O134" s="1833"/>
      <c r="P134" s="1834"/>
      <c r="Q134" s="1720" t="s">
        <v>4562</v>
      </c>
      <c r="R134" s="1117" t="s">
        <v>4159</v>
      </c>
      <c r="S134" s="1117" t="s">
        <v>4044</v>
      </c>
    </row>
    <row r="135" spans="1:21" s="331" customFormat="1" ht="12" customHeight="1">
      <c r="B135" s="349"/>
      <c r="C135" s="3517"/>
      <c r="D135" s="3517"/>
      <c r="E135" s="3517"/>
      <c r="F135" s="3517"/>
      <c r="G135" s="853"/>
      <c r="H135" s="3355" t="s">
        <v>4564</v>
      </c>
      <c r="I135" s="3355"/>
      <c r="J135" s="4453"/>
      <c r="K135" s="4454"/>
      <c r="L135" s="4455"/>
      <c r="M135" s="4168" t="str">
        <f>IF(AND(O134&gt;0,O133&gt;0),"Pick A1 or A2!","")</f>
        <v/>
      </c>
      <c r="N135" s="4168"/>
      <c r="O135" s="4168"/>
      <c r="P135" s="4168"/>
      <c r="Q135" s="785"/>
      <c r="R135" s="1464">
        <v>0.25</v>
      </c>
      <c r="S135" s="1464">
        <v>5</v>
      </c>
    </row>
    <row r="136" spans="1:21" s="331" customFormat="1" ht="12" customHeight="1">
      <c r="B136" s="349"/>
      <c r="C136" s="3517"/>
      <c r="D136" s="3517"/>
      <c r="E136" s="3517"/>
      <c r="F136" s="3517"/>
      <c r="G136" s="853"/>
      <c r="H136" s="1679"/>
      <c r="I136" s="1814"/>
      <c r="J136" s="4453"/>
      <c r="K136" s="4454"/>
      <c r="L136" s="4455"/>
      <c r="Q136" s="785"/>
      <c r="R136" s="1464">
        <v>0.5</v>
      </c>
      <c r="S136" s="1464">
        <v>4.5</v>
      </c>
    </row>
    <row r="137" spans="1:21" s="331" customFormat="1" ht="12" customHeight="1">
      <c r="B137" s="349"/>
      <c r="C137" s="3517"/>
      <c r="D137" s="3517"/>
      <c r="E137" s="3517"/>
      <c r="F137" s="3517"/>
      <c r="G137" s="853"/>
      <c r="J137" s="4453"/>
      <c r="K137" s="4454"/>
      <c r="L137" s="4455"/>
      <c r="M137" s="70"/>
      <c r="N137" s="70"/>
      <c r="O137" s="70"/>
      <c r="P137" s="70"/>
      <c r="Q137" s="396"/>
      <c r="R137" s="1465">
        <v>1</v>
      </c>
      <c r="S137" s="1465">
        <v>4</v>
      </c>
    </row>
    <row r="138" spans="1:21" s="331" customFormat="1" ht="12" customHeight="1">
      <c r="A138" s="112" t="s">
        <v>1838</v>
      </c>
      <c r="B138" s="884" t="s">
        <v>3153</v>
      </c>
      <c r="C138" s="502"/>
      <c r="D138" s="502"/>
      <c r="F138" s="1812" t="s">
        <v>4561</v>
      </c>
      <c r="J138" s="4375" t="s">
        <v>3150</v>
      </c>
      <c r="K138" s="4376"/>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4563</v>
      </c>
      <c r="R138" s="1815">
        <v>0.25</v>
      </c>
      <c r="S138" s="1815">
        <v>3</v>
      </c>
    </row>
    <row r="139" spans="1:21" s="36" customFormat="1" ht="12" customHeight="1">
      <c r="A139" s="120"/>
      <c r="B139" s="1544" t="s">
        <v>1839</v>
      </c>
      <c r="C139" s="3517" t="s">
        <v>4576</v>
      </c>
      <c r="D139" s="3517"/>
      <c r="E139" s="3517"/>
      <c r="F139" s="3517"/>
      <c r="G139" s="853"/>
      <c r="H139" s="3355" t="s">
        <v>4565</v>
      </c>
      <c r="I139" s="3355"/>
      <c r="J139" s="4377" t="s">
        <v>4581</v>
      </c>
      <c r="K139" s="4378"/>
      <c r="L139" s="4379"/>
      <c r="M139" s="457">
        <v>3</v>
      </c>
      <c r="N139" s="347" t="s">
        <v>1839</v>
      </c>
      <c r="O139" s="4613"/>
      <c r="P139" s="4616"/>
      <c r="Q139" s="785" t="str">
        <f>IF(OR($O141=$M141,$O141=0,$O141=""),"","*CHECK!*")</f>
        <v/>
      </c>
      <c r="R139" s="1464">
        <v>0.5</v>
      </c>
      <c r="S139" s="1464">
        <v>2</v>
      </c>
      <c r="U139" s="331"/>
    </row>
    <row r="140" spans="1:21" s="36" customFormat="1" ht="12" customHeight="1">
      <c r="A140" s="120"/>
      <c r="B140" s="878"/>
      <c r="C140" s="3517"/>
      <c r="D140" s="3517"/>
      <c r="E140" s="3517"/>
      <c r="F140" s="3517"/>
      <c r="G140" s="70"/>
      <c r="H140" s="1679"/>
      <c r="I140" s="1814"/>
      <c r="J140" s="4600" t="s">
        <v>4459</v>
      </c>
      <c r="K140" s="4601"/>
      <c r="L140" s="4602"/>
      <c r="M140" s="70"/>
      <c r="O140" s="4614"/>
      <c r="P140" s="4617"/>
      <c r="Q140" s="86"/>
      <c r="R140" s="1465">
        <v>1</v>
      </c>
      <c r="S140" s="1465">
        <v>1</v>
      </c>
      <c r="U140" s="331"/>
    </row>
    <row r="141" spans="1:21" s="36" customFormat="1" ht="11.25" customHeight="1">
      <c r="A141" s="455" t="s">
        <v>1273</v>
      </c>
      <c r="B141" s="1544" t="s">
        <v>1841</v>
      </c>
      <c r="C141" s="3517" t="s">
        <v>4568</v>
      </c>
      <c r="D141" s="3517"/>
      <c r="E141" s="3517"/>
      <c r="F141" s="3517"/>
      <c r="G141" s="3517"/>
      <c r="H141" s="3517"/>
      <c r="I141" s="1813"/>
      <c r="J141" s="4603"/>
      <c r="K141" s="4604"/>
      <c r="L141" s="4605"/>
      <c r="M141" s="457">
        <v>1</v>
      </c>
      <c r="N141" s="347" t="s">
        <v>1841</v>
      </c>
      <c r="O141" s="4400"/>
      <c r="P141" s="4577"/>
      <c r="U141" s="331"/>
    </row>
    <row r="142" spans="1:21" s="36" customFormat="1" ht="11.25" customHeight="1">
      <c r="B142" s="1816"/>
      <c r="C142" s="3517"/>
      <c r="D142" s="3517"/>
      <c r="E142" s="3517"/>
      <c r="F142" s="3517"/>
      <c r="G142" s="3517"/>
      <c r="H142" s="3517"/>
      <c r="I142" s="1813"/>
      <c r="J142" s="4606"/>
      <c r="K142" s="4607"/>
      <c r="L142" s="4608"/>
      <c r="O142" s="4400"/>
      <c r="P142" s="4577"/>
      <c r="T142" s="331"/>
      <c r="U142" s="331"/>
    </row>
    <row r="143" spans="1:21" s="331" customFormat="1" ht="12" customHeight="1">
      <c r="A143" s="1543" t="s">
        <v>1273</v>
      </c>
      <c r="B143" s="1544" t="s">
        <v>2326</v>
      </c>
      <c r="C143" s="3517" t="s">
        <v>4567</v>
      </c>
      <c r="D143" s="3517"/>
      <c r="E143" s="3517"/>
      <c r="F143" s="3517"/>
      <c r="G143" s="3517"/>
      <c r="H143" s="3517"/>
      <c r="I143" s="4612"/>
      <c r="J143" s="4600" t="s">
        <v>4460</v>
      </c>
      <c r="K143" s="4601"/>
      <c r="L143" s="4602"/>
      <c r="M143" s="1758">
        <v>2</v>
      </c>
      <c r="N143" s="373" t="s">
        <v>2326</v>
      </c>
      <c r="O143" s="4575"/>
      <c r="P143" s="4396"/>
      <c r="Q143" s="785"/>
      <c r="R143" s="782"/>
    </row>
    <row r="144" spans="1:21" s="36" customFormat="1" ht="36.75" customHeight="1">
      <c r="C144" s="3517"/>
      <c r="D144" s="3517"/>
      <c r="E144" s="3517"/>
      <c r="F144" s="3517"/>
      <c r="G144" s="3517"/>
      <c r="H144" s="3517"/>
      <c r="I144" s="4612"/>
      <c r="J144" s="4609"/>
      <c r="K144" s="4610"/>
      <c r="L144" s="4611"/>
      <c r="O144" s="4576"/>
      <c r="P144" s="4397"/>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342"/>
      <c r="B147" s="4343"/>
      <c r="C147" s="4343"/>
      <c r="D147" s="4343"/>
      <c r="E147" s="4343"/>
      <c r="F147" s="4343"/>
      <c r="G147" s="4343"/>
      <c r="H147" s="4343"/>
      <c r="I147" s="4343"/>
      <c r="J147" s="4343"/>
      <c r="K147" s="4343"/>
      <c r="L147" s="4343"/>
      <c r="M147" s="4343"/>
      <c r="N147" s="4343"/>
      <c r="O147" s="4343"/>
      <c r="P147" s="434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4"/>
      <c r="B149" s="4115"/>
      <c r="C149" s="4115"/>
      <c r="D149" s="4115"/>
      <c r="E149" s="4115"/>
      <c r="F149" s="4115"/>
      <c r="G149" s="4115"/>
      <c r="H149" s="4115"/>
      <c r="I149" s="4115"/>
      <c r="J149" s="4115"/>
      <c r="K149" s="4115"/>
      <c r="L149" s="4115"/>
      <c r="M149" s="4115"/>
      <c r="N149" s="4115"/>
      <c r="O149" s="4115"/>
      <c r="P149" s="411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4048</v>
      </c>
      <c r="C152" s="874"/>
      <c r="D152" s="874"/>
      <c r="E152" s="874"/>
      <c r="G152" s="1463" t="s">
        <v>3695</v>
      </c>
      <c r="H152" s="854" t="str">
        <f>'Part VII-Threshold Criteria OLD'!$J$35</f>
        <v>&lt;&lt; Select PROPOSED Tenancy &gt;&gt;</v>
      </c>
      <c r="M152" s="119">
        <v>3</v>
      </c>
      <c r="N152" s="55"/>
      <c r="O152" s="1528"/>
      <c r="P152" s="1529"/>
      <c r="Q152" s="1153" t="str">
        <f>IF(OR($O152&lt;=$M152,$O152=0,$O152=""),"","*CHECK!*")</f>
        <v/>
      </c>
      <c r="R152" s="1531" t="s">
        <v>415</v>
      </c>
      <c r="S152" s="782" t="s">
        <v>3926</v>
      </c>
    </row>
    <row r="153" spans="1:19" ht="18.75" customHeight="1">
      <c r="C153" s="1457" t="s">
        <v>4612</v>
      </c>
      <c r="F153" s="1457"/>
      <c r="G153" s="1457"/>
      <c r="H153" s="1457"/>
      <c r="I153" s="1564"/>
      <c r="J153" s="1565"/>
      <c r="K153" s="1566"/>
      <c r="M153" s="36"/>
      <c r="N153"/>
      <c r="O153"/>
      <c r="P153" s="1873"/>
    </row>
    <row r="154" spans="1:19" ht="11.25" customHeight="1">
      <c r="C154" s="1457" t="s">
        <v>4611</v>
      </c>
      <c r="F154" s="1457"/>
      <c r="G154" s="1457"/>
      <c r="H154" s="1457"/>
      <c r="I154" s="1564"/>
      <c r="J154" s="4597" t="s">
        <v>4718</v>
      </c>
      <c r="K154" s="4598"/>
      <c r="L154" s="4598"/>
      <c r="M154" s="4599"/>
      <c r="N154"/>
      <c r="O154"/>
      <c r="P154"/>
    </row>
    <row r="155" spans="1:19" ht="12.75" customHeight="1">
      <c r="B155" s="429"/>
      <c r="C155" s="429"/>
      <c r="D155" s="429"/>
      <c r="F155" s="4111" t="s">
        <v>4521</v>
      </c>
      <c r="G155" s="4111"/>
      <c r="H155" s="4111" t="s">
        <v>4165</v>
      </c>
      <c r="I155" s="4111"/>
      <c r="J155" s="4585" t="s">
        <v>4522</v>
      </c>
      <c r="K155" s="4586"/>
      <c r="L155" s="4588" t="s">
        <v>4717</v>
      </c>
      <c r="M155" s="4589"/>
      <c r="N155" s="44"/>
      <c r="O155" s="1776"/>
      <c r="P155" s="1777"/>
    </row>
    <row r="156" spans="1:19" ht="30.75" customHeight="1">
      <c r="B156" s="429"/>
      <c r="C156" s="429"/>
      <c r="D156" s="429"/>
      <c r="F156" s="4111"/>
      <c r="G156" s="4111"/>
      <c r="H156" s="4111"/>
      <c r="I156" s="4111"/>
      <c r="J156" s="4587"/>
      <c r="K156" s="4586"/>
      <c r="L156" s="4111"/>
      <c r="M156" s="4590"/>
      <c r="N156" s="44"/>
      <c r="O156" s="1778"/>
      <c r="P156" s="1777"/>
    </row>
    <row r="157" spans="1:19" ht="12" customHeight="1">
      <c r="B157" s="81" t="s">
        <v>4523</v>
      </c>
      <c r="C157" s="876"/>
      <c r="D157" s="36"/>
      <c r="F157" s="4233"/>
      <c r="G157" s="4233"/>
      <c r="H157" s="4233"/>
      <c r="I157" s="4233"/>
      <c r="J157" s="4587"/>
      <c r="K157" s="4586"/>
      <c r="L157" s="4233"/>
      <c r="M157" s="4591"/>
      <c r="N157" s="44"/>
      <c r="O157" s="1778"/>
      <c r="P157" s="1777"/>
    </row>
    <row r="158" spans="1:19">
      <c r="B158" s="4592"/>
      <c r="C158" s="4593"/>
      <c r="D158" s="4593"/>
      <c r="E158" s="4594"/>
      <c r="F158" s="4592"/>
      <c r="G158" s="4594"/>
      <c r="H158" s="4592"/>
      <c r="I158" s="4594"/>
      <c r="J158" s="4595"/>
      <c r="K158" s="4596"/>
      <c r="L158" s="4595"/>
      <c r="M158" s="4596"/>
      <c r="N158" s="4634"/>
      <c r="O158" s="4635"/>
    </row>
    <row r="159" spans="1:19">
      <c r="B159" s="4425"/>
      <c r="C159" s="4426"/>
      <c r="D159" s="4426"/>
      <c r="E159" s="4427"/>
      <c r="F159" s="4425"/>
      <c r="G159" s="4427"/>
      <c r="H159" s="4425"/>
      <c r="I159" s="4427"/>
      <c r="J159" s="4579"/>
      <c r="K159" s="4580"/>
      <c r="L159" s="4579"/>
      <c r="M159" s="4580"/>
      <c r="N159" s="4456"/>
      <c r="O159" s="4457"/>
    </row>
    <row r="160" spans="1:19">
      <c r="B160" s="4425"/>
      <c r="C160" s="4426"/>
      <c r="D160" s="4426"/>
      <c r="E160" s="4427"/>
      <c r="F160" s="4425"/>
      <c r="G160" s="4427"/>
      <c r="H160" s="4425"/>
      <c r="I160" s="4427"/>
      <c r="J160" s="4579"/>
      <c r="K160" s="4580"/>
      <c r="L160" s="4579"/>
      <c r="M160" s="4580"/>
      <c r="N160" s="4456"/>
      <c r="O160" s="4457"/>
    </row>
    <row r="161" spans="1:26">
      <c r="B161" s="4425"/>
      <c r="C161" s="4426"/>
      <c r="D161" s="4426"/>
      <c r="E161" s="4427"/>
      <c r="F161" s="4425"/>
      <c r="G161" s="4427"/>
      <c r="H161" s="4425"/>
      <c r="I161" s="4427"/>
      <c r="J161" s="4579"/>
      <c r="K161" s="4580"/>
      <c r="L161" s="4579"/>
      <c r="M161" s="4580"/>
      <c r="N161" s="4456"/>
      <c r="O161" s="4457"/>
    </row>
    <row r="162" spans="1:26">
      <c r="B162" s="4425"/>
      <c r="C162" s="4426"/>
      <c r="D162" s="4426"/>
      <c r="E162" s="4427"/>
      <c r="F162" s="4425"/>
      <c r="G162" s="4427"/>
      <c r="H162" s="4425"/>
      <c r="I162" s="4427"/>
      <c r="J162" s="4579"/>
      <c r="K162" s="4580"/>
      <c r="L162" s="4579"/>
      <c r="M162" s="4580"/>
      <c r="N162" s="4456"/>
      <c r="O162" s="4457"/>
    </row>
    <row r="163" spans="1:26">
      <c r="B163" s="4627"/>
      <c r="C163" s="4628"/>
      <c r="D163" s="4628"/>
      <c r="E163" s="4629"/>
      <c r="F163" s="4627"/>
      <c r="G163" s="4629"/>
      <c r="H163" s="4627"/>
      <c r="I163" s="4629"/>
      <c r="J163" s="4630"/>
      <c r="K163" s="4631"/>
      <c r="L163" s="4630"/>
      <c r="M163" s="4631"/>
      <c r="N163" s="4632"/>
      <c r="O163" s="4633"/>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342"/>
      <c r="B165" s="4343"/>
      <c r="C165" s="4343"/>
      <c r="D165" s="4343"/>
      <c r="E165" s="4343"/>
      <c r="F165" s="4343"/>
      <c r="G165" s="4343"/>
      <c r="H165" s="4343"/>
      <c r="I165" s="4343"/>
      <c r="J165" s="4343"/>
      <c r="K165" s="4343"/>
      <c r="L165" s="4343"/>
      <c r="M165" s="4343"/>
      <c r="N165" s="4343"/>
      <c r="O165" s="4343"/>
      <c r="P165" s="434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2"/>
      <c r="B167" s="4143"/>
      <c r="C167" s="4143"/>
      <c r="D167" s="4143"/>
      <c r="E167" s="4143"/>
      <c r="F167" s="4143"/>
      <c r="G167" s="4143"/>
      <c r="H167" s="4143"/>
      <c r="I167" s="4143"/>
      <c r="J167" s="4143"/>
      <c r="K167" s="4143"/>
      <c r="L167" s="4143"/>
      <c r="M167" s="4143"/>
      <c r="N167" s="4143"/>
      <c r="O167" s="4143"/>
      <c r="P167" s="414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4072</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4164</v>
      </c>
      <c r="D172" s="141"/>
      <c r="E172" s="141"/>
      <c r="F172" s="141"/>
      <c r="G172" s="141"/>
      <c r="H172" s="141"/>
      <c r="I172" s="141"/>
      <c r="J172" s="141"/>
      <c r="K172" s="141"/>
      <c r="L172" s="141"/>
      <c r="M172" s="457">
        <v>2</v>
      </c>
      <c r="N172" s="128" t="s">
        <v>1611</v>
      </c>
      <c r="O172" s="1501"/>
      <c r="P172" s="1551"/>
      <c r="Q172" s="1153" t="str">
        <f>IF(OR($O172=$M172,$O172=0,$O172=""),"","*CHECK!*")</f>
        <v/>
      </c>
      <c r="R172" s="782" t="s">
        <v>3926</v>
      </c>
      <c r="S172" s="1540"/>
      <c r="T172" s="1540"/>
      <c r="U172" s="1540"/>
    </row>
    <row r="173" spans="1:26" s="317" customFormat="1" ht="12" customHeight="1">
      <c r="B173" s="128" t="s">
        <v>2234</v>
      </c>
      <c r="C173" s="4103" t="s">
        <v>4572</v>
      </c>
      <c r="D173" s="4103"/>
      <c r="E173" s="4103"/>
      <c r="F173" s="4103"/>
      <c r="G173" s="4103"/>
      <c r="H173" s="4103"/>
      <c r="I173" s="4103"/>
      <c r="J173" s="4103"/>
      <c r="K173" s="4103"/>
      <c r="L173" s="128"/>
      <c r="M173" s="4569" t="s">
        <v>3990</v>
      </c>
      <c r="N173" s="4569"/>
      <c r="O173" s="4569"/>
      <c r="P173" s="4569"/>
      <c r="S173" s="1540"/>
      <c r="T173" s="1540"/>
      <c r="U173" s="1540"/>
      <c r="V173" s="333"/>
      <c r="W173" s="333"/>
      <c r="X173" s="333"/>
      <c r="Y173" s="333"/>
      <c r="Z173" s="333"/>
    </row>
    <row r="174" spans="1:26" s="36" customFormat="1" ht="12.75" customHeight="1">
      <c r="A174" s="305"/>
      <c r="B174" s="49"/>
      <c r="C174" s="4103"/>
      <c r="D174" s="4103"/>
      <c r="E174" s="4103"/>
      <c r="F174" s="4103"/>
      <c r="G174" s="4103"/>
      <c r="H174" s="4103"/>
      <c r="I174" s="4103"/>
      <c r="J174" s="4103"/>
      <c r="K174" s="4103"/>
      <c r="L174" s="128" t="s">
        <v>2234</v>
      </c>
      <c r="M174" s="4561" t="s">
        <v>3201</v>
      </c>
      <c r="N174" s="4562"/>
      <c r="O174" s="4562"/>
      <c r="P174" s="4563"/>
      <c r="S174" s="1540"/>
      <c r="T174" s="1540"/>
      <c r="U174" s="1540"/>
    </row>
    <row r="175" spans="1:26" s="26" customFormat="1" ht="12.75" customHeight="1">
      <c r="B175" s="49" t="s">
        <v>2235</v>
      </c>
      <c r="C175" s="29" t="s">
        <v>3830</v>
      </c>
      <c r="D175" s="29"/>
      <c r="E175" s="29"/>
      <c r="F175" s="29"/>
      <c r="G175" s="29"/>
      <c r="H175" s="29"/>
      <c r="L175" s="49" t="s">
        <v>2235</v>
      </c>
      <c r="M175" s="4377" t="s">
        <v>3201</v>
      </c>
      <c r="N175" s="4378"/>
      <c r="O175" s="4378"/>
      <c r="P175" s="4379"/>
      <c r="S175" s="1540"/>
      <c r="T175" s="1540"/>
      <c r="U175" s="1540"/>
      <c r="V175" s="72"/>
      <c r="W175" s="72"/>
      <c r="X175" s="72"/>
      <c r="Y175" s="72"/>
      <c r="Z175" s="72"/>
    </row>
    <row r="176" spans="1:26" s="26" customFormat="1" ht="12.75" customHeight="1">
      <c r="B176" s="49" t="s">
        <v>2236</v>
      </c>
      <c r="C176" s="29" t="s">
        <v>4070</v>
      </c>
      <c r="D176" s="29"/>
      <c r="E176" s="29"/>
      <c r="F176" s="29"/>
      <c r="G176" s="29"/>
      <c r="H176" s="29"/>
      <c r="L176" s="49" t="s">
        <v>2236</v>
      </c>
      <c r="M176" s="4377" t="s">
        <v>3201</v>
      </c>
      <c r="N176" s="4378"/>
      <c r="O176" s="4378"/>
      <c r="P176" s="437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4071</v>
      </c>
      <c r="D177" s="29"/>
      <c r="E177" s="29"/>
      <c r="F177" s="29"/>
      <c r="G177" s="29"/>
      <c r="L177" s="49" t="s">
        <v>2237</v>
      </c>
      <c r="M177" s="4516" t="s">
        <v>3201</v>
      </c>
      <c r="N177" s="4517"/>
      <c r="O177" s="4517"/>
      <c r="P177" s="451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4147</v>
      </c>
      <c r="D179" s="108"/>
      <c r="E179" s="108"/>
      <c r="F179" s="108"/>
      <c r="G179" s="108"/>
      <c r="H179" s="108"/>
      <c r="I179" s="108"/>
      <c r="K179" s="922"/>
      <c r="L179" s="922"/>
      <c r="R179" s="1540"/>
      <c r="S179" s="1540"/>
      <c r="T179" s="1540"/>
      <c r="U179" s="1540"/>
    </row>
    <row r="180" spans="1:26">
      <c r="A180" s="395"/>
      <c r="B180" s="128" t="s">
        <v>2234</v>
      </c>
      <c r="C180" s="4103" t="s">
        <v>4074</v>
      </c>
      <c r="D180" s="4103"/>
      <c r="E180" s="4103"/>
      <c r="F180" s="4103"/>
      <c r="G180" s="4103"/>
      <c r="H180" s="4103"/>
      <c r="I180" s="4103"/>
      <c r="J180" s="4103"/>
      <c r="K180" s="4103"/>
      <c r="L180" s="4103"/>
      <c r="M180" s="1758">
        <v>1</v>
      </c>
      <c r="N180" s="128" t="s">
        <v>3944</v>
      </c>
      <c r="O180" s="1548"/>
      <c r="P180" s="1552"/>
      <c r="Q180" s="1153" t="str">
        <f>IF(OR($O180=$M180,$O180=0,$O180=""),"","*CHECK!*")</f>
        <v/>
      </c>
      <c r="R180" s="782" t="s">
        <v>3926</v>
      </c>
    </row>
    <row r="181" spans="1:26" ht="36.75" customHeight="1">
      <c r="A181" s="395"/>
      <c r="B181" s="117" t="s">
        <v>2235</v>
      </c>
      <c r="C181" s="4103" t="s">
        <v>4075</v>
      </c>
      <c r="D181" s="4103"/>
      <c r="E181" s="4103"/>
      <c r="F181" s="4103"/>
      <c r="G181" s="4103"/>
      <c r="H181" s="4103"/>
      <c r="I181" s="4103"/>
      <c r="J181" s="4103"/>
      <c r="K181" s="4103"/>
      <c r="L181" s="4103"/>
      <c r="M181" s="1758">
        <v>1</v>
      </c>
      <c r="N181" s="128" t="s">
        <v>4156</v>
      </c>
      <c r="O181" s="1569"/>
      <c r="P181" s="1570"/>
      <c r="Q181" s="1153" t="str">
        <f>IF(OR($O181=$M181,$O181=0,$O181=""),"","*CHECK!*")</f>
        <v/>
      </c>
      <c r="R181" s="782" t="s">
        <v>3926</v>
      </c>
    </row>
    <row r="182" spans="1:26" ht="12" customHeight="1">
      <c r="A182" s="395"/>
      <c r="B182" s="1519" t="s">
        <v>2236</v>
      </c>
      <c r="C182" s="44" t="s">
        <v>4158</v>
      </c>
      <c r="D182" s="100"/>
      <c r="E182" s="100"/>
      <c r="F182" s="100"/>
      <c r="G182" s="100"/>
      <c r="H182" s="100"/>
      <c r="I182" s="100"/>
      <c r="J182" s="100"/>
      <c r="K182" s="100"/>
      <c r="L182" s="100"/>
      <c r="M182" s="457">
        <v>1</v>
      </c>
      <c r="N182" s="48" t="s">
        <v>4157</v>
      </c>
      <c r="O182" s="1549"/>
      <c r="P182" s="1553"/>
      <c r="Q182" s="1153" t="str">
        <f>IF(OR($O182=$M182,$O182=0,$O182=""),"","*CHECK!*")</f>
        <v/>
      </c>
      <c r="R182" s="782" t="s">
        <v>3926</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3696</v>
      </c>
      <c r="D184" s="26"/>
      <c r="F184" s="1130"/>
      <c r="K184" s="902"/>
      <c r="L184" s="307" t="str">
        <f>IF(OR($O184=$M184,$O184=0,$O184=1,$O184=""),"","* * Check Score! * *")</f>
        <v/>
      </c>
      <c r="M184" s="457">
        <v>2</v>
      </c>
      <c r="N184" s="48" t="s">
        <v>1838</v>
      </c>
      <c r="O184" s="458"/>
      <c r="P184" s="652"/>
      <c r="Q184" s="785" t="str">
        <f>IF(OR($O184=$M184,$O184=0,$O184=""),"","*CHECK!*")</f>
        <v/>
      </c>
      <c r="R184" s="782" t="s">
        <v>3926</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342"/>
      <c r="B186" s="4343"/>
      <c r="C186" s="4343"/>
      <c r="D186" s="4343"/>
      <c r="E186" s="4343"/>
      <c r="F186" s="4343"/>
      <c r="G186" s="4343"/>
      <c r="H186" s="4343"/>
      <c r="I186" s="4343"/>
      <c r="J186" s="4343"/>
      <c r="K186" s="4343"/>
      <c r="L186" s="4343"/>
      <c r="M186" s="4343"/>
      <c r="N186" s="4343"/>
      <c r="O186" s="4343"/>
      <c r="P186" s="434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2"/>
      <c r="B188" s="4143"/>
      <c r="C188" s="4143"/>
      <c r="D188" s="4143"/>
      <c r="E188" s="4143"/>
      <c r="F188" s="4143"/>
      <c r="G188" s="4143"/>
      <c r="H188" s="4143"/>
      <c r="I188" s="4143"/>
      <c r="J188" s="4143"/>
      <c r="K188" s="4143"/>
      <c r="L188" s="4143"/>
      <c r="M188" s="4143"/>
      <c r="N188" s="4143"/>
      <c r="O188" s="4143"/>
      <c r="P188" s="414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4148</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4106</v>
      </c>
      <c r="D193" s="26"/>
      <c r="G193" s="369"/>
      <c r="N193"/>
      <c r="O193" s="31"/>
      <c r="P193" s="31"/>
      <c r="Q193" s="241"/>
    </row>
    <row r="194" spans="1:24" s="1260" customFormat="1" ht="12.75" customHeight="1">
      <c r="B194" s="349" t="s">
        <v>1839</v>
      </c>
      <c r="C194" s="4103" t="s">
        <v>4103</v>
      </c>
      <c r="D194" s="4103"/>
      <c r="E194" s="4103"/>
      <c r="F194" s="4103"/>
      <c r="G194" s="4103"/>
      <c r="H194" s="4103"/>
      <c r="I194" s="4103"/>
      <c r="J194" s="4103"/>
      <c r="K194" s="4103"/>
      <c r="L194" s="4103"/>
      <c r="M194" s="871" t="s">
        <v>697</v>
      </c>
      <c r="N194" s="316" t="s">
        <v>1839</v>
      </c>
      <c r="O194" s="881"/>
      <c r="P194" s="880"/>
      <c r="Q194" s="934"/>
      <c r="V194" s="1511"/>
      <c r="W194" s="1511"/>
    </row>
    <row r="195" spans="1:24" s="26" customFormat="1" ht="12.75" customHeight="1">
      <c r="A195" s="395"/>
      <c r="B195" s="349" t="s">
        <v>1841</v>
      </c>
      <c r="C195" s="33" t="s">
        <v>4104</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3" t="s">
        <v>4107</v>
      </c>
      <c r="D196" s="4103"/>
      <c r="E196" s="4103"/>
      <c r="F196" s="4103"/>
      <c r="G196" s="4103"/>
      <c r="H196" s="4103"/>
      <c r="I196" s="4103"/>
      <c r="J196" s="4103"/>
      <c r="K196" s="4103"/>
      <c r="L196" s="4103"/>
      <c r="M196" s="456"/>
      <c r="N196" s="316" t="s">
        <v>2326</v>
      </c>
      <c r="O196" s="883"/>
      <c r="P196" s="882"/>
      <c r="Q196" s="787"/>
      <c r="V196" s="929"/>
      <c r="W196" s="929"/>
    </row>
    <row r="197" spans="1:24" ht="11.65" customHeight="1">
      <c r="A197" s="107" t="s">
        <v>1957</v>
      </c>
      <c r="B197" s="141" t="s">
        <v>4105</v>
      </c>
      <c r="D197" s="26"/>
      <c r="G197" s="369"/>
      <c r="N197"/>
      <c r="O197" s="31"/>
      <c r="P197" s="31"/>
      <c r="Q197" s="241"/>
    </row>
    <row r="198" spans="1:24" s="1260" customFormat="1" ht="23.25" customHeight="1">
      <c r="B198" s="349" t="s">
        <v>1839</v>
      </c>
      <c r="C198" s="4103" t="s">
        <v>4108</v>
      </c>
      <c r="D198" s="4103"/>
      <c r="E198" s="4103"/>
      <c r="F198" s="4103"/>
      <c r="G198" s="4103"/>
      <c r="H198" s="4103"/>
      <c r="I198" s="4103"/>
      <c r="J198" s="4103"/>
      <c r="K198" s="4103"/>
      <c r="L198" s="4103"/>
      <c r="M198" s="871" t="s">
        <v>1957</v>
      </c>
      <c r="N198" s="316" t="s">
        <v>1839</v>
      </c>
      <c r="O198" s="881"/>
      <c r="P198" s="880"/>
      <c r="Q198" s="934"/>
      <c r="V198" s="1511"/>
      <c r="W198" s="1511"/>
    </row>
    <row r="199" spans="1:24" s="26" customFormat="1" ht="23.25" customHeight="1">
      <c r="A199" s="395"/>
      <c r="B199" s="349" t="s">
        <v>1841</v>
      </c>
      <c r="C199" s="4103" t="s">
        <v>4149</v>
      </c>
      <c r="D199" s="4103"/>
      <c r="E199" s="4103"/>
      <c r="F199" s="4103"/>
      <c r="G199" s="4103"/>
      <c r="H199" s="4103"/>
      <c r="I199" s="4103"/>
      <c r="J199" s="4103"/>
      <c r="K199" s="4103"/>
      <c r="L199" s="4103"/>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95"/>
      <c r="B201" s="4496"/>
      <c r="C201" s="4496"/>
      <c r="D201" s="4496"/>
      <c r="E201" s="4496"/>
      <c r="F201" s="4496"/>
      <c r="G201" s="4496"/>
      <c r="H201" s="4496"/>
      <c r="I201" s="4496"/>
      <c r="J201" s="4496"/>
      <c r="K201" s="4496"/>
      <c r="L201" s="4496"/>
      <c r="M201" s="4496"/>
      <c r="N201" s="4496"/>
      <c r="O201" s="4496"/>
      <c r="P201" s="449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1"/>
      <c r="B203" s="4402"/>
      <c r="C203" s="4402"/>
      <c r="D203" s="4402"/>
      <c r="E203" s="4402"/>
      <c r="F203" s="4402"/>
      <c r="G203" s="4402"/>
      <c r="H203" s="4402"/>
      <c r="I203" s="4402"/>
      <c r="J203" s="4402"/>
      <c r="K203" s="4402"/>
      <c r="L203" s="4402"/>
      <c r="M203" s="4402"/>
      <c r="N203" s="4402"/>
      <c r="O203" s="4402"/>
      <c r="P203" s="4403"/>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3697</v>
      </c>
      <c r="D207" s="38"/>
      <c r="E207" s="38"/>
      <c r="K207" s="1258"/>
      <c r="M207" s="457">
        <v>5</v>
      </c>
      <c r="N207" s="48" t="s">
        <v>1836</v>
      </c>
      <c r="O207" s="458"/>
      <c r="P207" s="652"/>
      <c r="Q207" s="1153" t="str">
        <f>IF(O207&lt;=M207,"","*CHECK!*")</f>
        <v/>
      </c>
      <c r="R207" s="782" t="s">
        <v>3926</v>
      </c>
      <c r="S207" s="1542"/>
      <c r="T207" s="1542"/>
      <c r="U207" s="1542"/>
    </row>
    <row r="208" spans="1:24" ht="12.75" customHeight="1">
      <c r="B208" s="1512"/>
      <c r="C208" s="29" t="s">
        <v>4150</v>
      </c>
      <c r="D208" s="70"/>
      <c r="E208" s="38"/>
      <c r="F208" s="38"/>
      <c r="G208" s="70"/>
      <c r="H208" s="70"/>
      <c r="I208" s="70"/>
      <c r="J208" s="4540" t="s">
        <v>3119</v>
      </c>
      <c r="K208" s="4541"/>
      <c r="L208" s="4542"/>
      <c r="M208" s="4543"/>
      <c r="N208" s="53"/>
      <c r="R208" s="86"/>
      <c r="S208" s="70"/>
    </row>
    <row r="209" spans="1:27" ht="12.75" customHeight="1">
      <c r="C209" s="673" t="s">
        <v>4151</v>
      </c>
      <c r="D209" s="44"/>
      <c r="J209" s="4513"/>
      <c r="K209" s="4514"/>
      <c r="L209" s="4514"/>
      <c r="M209" s="451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4109</v>
      </c>
      <c r="C211" s="29"/>
      <c r="K211" s="48"/>
      <c r="L211" s="48"/>
      <c r="M211" s="457">
        <v>5</v>
      </c>
      <c r="N211" s="48" t="s">
        <v>1838</v>
      </c>
      <c r="O211" s="458"/>
      <c r="P211" s="652"/>
      <c r="Q211" s="1153" t="str">
        <f>IF(O211&lt;=M211,"","*CHECK!*")</f>
        <v/>
      </c>
      <c r="R211" s="782" t="s">
        <v>3926</v>
      </c>
      <c r="S211" s="1542"/>
      <c r="T211" s="1542"/>
      <c r="U211" s="1542"/>
    </row>
    <row r="212" spans="1:27">
      <c r="C212" s="1550" t="s">
        <v>4115</v>
      </c>
      <c r="E212" s="4345" t="s">
        <v>4114</v>
      </c>
      <c r="F212" s="4345"/>
      <c r="G212" s="4345"/>
      <c r="H212" s="4345"/>
      <c r="I212" s="1144" t="s">
        <v>4141</v>
      </c>
      <c r="J212" s="4345" t="s">
        <v>4114</v>
      </c>
      <c r="K212" s="4345"/>
      <c r="L212" s="4345"/>
      <c r="M212" s="4345"/>
      <c r="N212"/>
      <c r="O212"/>
      <c r="P212"/>
    </row>
    <row r="213" spans="1:27" ht="13.5" customHeight="1">
      <c r="B213" s="399"/>
      <c r="C213" s="29" t="s">
        <v>4112</v>
      </c>
      <c r="E213" s="4346"/>
      <c r="F213" s="4347"/>
      <c r="G213" s="4347"/>
      <c r="H213" s="4348"/>
      <c r="I213" s="1779" t="s">
        <v>905</v>
      </c>
      <c r="J213" s="4510"/>
      <c r="K213" s="4511"/>
      <c r="L213" s="4511"/>
      <c r="M213" s="4512"/>
      <c r="N213"/>
      <c r="Q213" s="24"/>
      <c r="R213" s="24"/>
      <c r="S213" s="24"/>
      <c r="T213" s="24"/>
      <c r="U213" s="24"/>
      <c r="V213" s="24"/>
      <c r="W213" s="24"/>
      <c r="X213" s="24"/>
      <c r="Y213" s="24"/>
      <c r="Z213" s="24"/>
      <c r="AA213" s="1780"/>
    </row>
    <row r="214" spans="1:27" ht="13.5" customHeight="1">
      <c r="C214" s="29" t="s">
        <v>4113</v>
      </c>
      <c r="E214" s="4458"/>
      <c r="F214" s="4459"/>
      <c r="G214" s="4459"/>
      <c r="H214" s="4460"/>
      <c r="I214" s="1818"/>
      <c r="J214" s="4339"/>
      <c r="K214" s="4340"/>
      <c r="L214" s="4340"/>
      <c r="M214" s="4341"/>
      <c r="N214" s="1153" t="str">
        <f>IF(P211&lt;=N211,"","*CHECK!*")</f>
        <v/>
      </c>
      <c r="Q214" s="24"/>
      <c r="R214" s="24"/>
      <c r="S214" s="24"/>
      <c r="T214" s="24"/>
      <c r="U214" s="24"/>
      <c r="V214" s="24"/>
      <c r="W214" s="24"/>
      <c r="X214" s="24"/>
      <c r="Y214" s="24"/>
      <c r="Z214" s="24"/>
      <c r="AA214" s="1780"/>
    </row>
    <row r="215" spans="1:27" ht="13.5" customHeight="1">
      <c r="B215" s="399"/>
      <c r="C215" s="29" t="s">
        <v>4110</v>
      </c>
      <c r="E215" s="4458"/>
      <c r="F215" s="4459"/>
      <c r="G215" s="4459"/>
      <c r="H215" s="4460"/>
      <c r="I215" s="1818"/>
      <c r="J215" s="4339"/>
      <c r="K215" s="4340"/>
      <c r="L215" s="4340"/>
      <c r="M215" s="4341"/>
      <c r="N215"/>
      <c r="Q215" s="24"/>
      <c r="R215" s="24"/>
      <c r="S215" s="24"/>
      <c r="T215" s="24"/>
      <c r="U215" s="24"/>
      <c r="V215" s="24"/>
      <c r="W215" s="24"/>
      <c r="X215" s="24"/>
      <c r="Y215" s="24"/>
      <c r="Z215" s="24"/>
      <c r="AA215" s="1780"/>
    </row>
    <row r="216" spans="1:27" ht="13.5" customHeight="1">
      <c r="B216" s="44"/>
      <c r="C216" s="29" t="s">
        <v>4111</v>
      </c>
      <c r="E216" s="4501"/>
      <c r="F216" s="4502"/>
      <c r="G216" s="4502"/>
      <c r="H216" s="4503"/>
      <c r="I216" s="1819"/>
      <c r="J216" s="4507"/>
      <c r="K216" s="4508"/>
      <c r="L216" s="4508"/>
      <c r="M216" s="4509"/>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 customHeight="1" thickTop="1" thickBot="1">
      <c r="A220" s="4342"/>
      <c r="B220" s="4343"/>
      <c r="C220" s="4343"/>
      <c r="D220" s="4343"/>
      <c r="E220" s="4343"/>
      <c r="F220" s="4343"/>
      <c r="G220" s="4343"/>
      <c r="H220" s="4343"/>
      <c r="I220" s="4343"/>
      <c r="J220" s="4343"/>
      <c r="K220" s="4343"/>
      <c r="L220" s="4343"/>
      <c r="M220" s="4343"/>
      <c r="N220" s="4343"/>
      <c r="O220" s="4343"/>
      <c r="P220" s="434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1"/>
      <c r="B223" s="4402"/>
      <c r="C223" s="4402"/>
      <c r="D223" s="4402"/>
      <c r="E223" s="4402"/>
      <c r="F223" s="4402"/>
      <c r="G223" s="4402"/>
      <c r="H223" s="4402"/>
      <c r="I223" s="4402"/>
      <c r="J223" s="4402"/>
      <c r="K223" s="4402"/>
      <c r="L223" s="4402"/>
      <c r="M223" s="4402"/>
      <c r="N223" s="4402"/>
      <c r="O223" s="4402"/>
      <c r="P223" s="440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3904</v>
      </c>
      <c r="C225" s="44"/>
      <c r="G225" s="1535" t="s">
        <v>4144</v>
      </c>
      <c r="H225" s="1462" t="e">
        <f>IF(OR($M$34="9% Credit Competitive Round only", $M$34="9% Credit &amp; HOME"),"9%",IF(OR($M$34="4% Credit/TE Bond", $M$34="4% Credit/TE Bond &amp; HOME", $M$34="4% Credit/TE Bond &amp; HOME NOFA", $M$34="4% Credit &amp; NHTF", $M$34="4% Credit &amp; NHTF &amp; HOME"),"4%",""))</f>
        <v>#REF!</v>
      </c>
      <c r="J225" s="1535" t="s">
        <v>362</v>
      </c>
      <c r="K225" s="4535" t="str">
        <f>M55</f>
        <v>&lt;&lt; Select Activity Type &gt;&gt;</v>
      </c>
      <c r="L225" s="453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4145</v>
      </c>
      <c r="D226" s="32"/>
      <c r="E226" s="29"/>
      <c r="F226" s="119"/>
      <c r="G226" s="878" t="s">
        <v>3067</v>
      </c>
      <c r="H226" s="1132" t="e">
        <f>IF(#REF!=0,0,#REF!/#REF!)</f>
        <v>#REF!</v>
      </c>
      <c r="J226" s="369" t="s">
        <v>3833</v>
      </c>
      <c r="K226" s="4505" t="e">
        <f>#REF!</f>
        <v>#REF!</v>
      </c>
      <c r="L226" s="4506"/>
      <c r="M226" s="31"/>
      <c r="N226" s="119"/>
      <c r="O226" s="24"/>
      <c r="P226" s="3"/>
    </row>
    <row r="227" spans="1:24" ht="12" customHeight="1">
      <c r="A227" s="674" t="s">
        <v>1836</v>
      </c>
      <c r="B227" s="67" t="s">
        <v>3831</v>
      </c>
      <c r="C227" s="44"/>
      <c r="E227" s="236" t="s">
        <v>3832</v>
      </c>
      <c r="M227" s="457">
        <v>1</v>
      </c>
      <c r="N227" s="48" t="s">
        <v>1836</v>
      </c>
      <c r="O227" s="1261"/>
      <c r="P227" s="1262"/>
      <c r="Q227" s="785" t="str">
        <f>IF(OR($O227=$M227,$O227=0,$O227=""),"","*CHECK!*")</f>
        <v/>
      </c>
      <c r="R227" s="782" t="s">
        <v>3926</v>
      </c>
    </row>
    <row r="228" spans="1:24" ht="12" customHeight="1">
      <c r="A228" s="674" t="s">
        <v>1838</v>
      </c>
      <c r="B228" s="67" t="s">
        <v>3687</v>
      </c>
      <c r="C228" s="44"/>
      <c r="E228" s="236" t="s">
        <v>3909</v>
      </c>
      <c r="M228" s="869">
        <v>1</v>
      </c>
      <c r="N228" s="48" t="s">
        <v>1838</v>
      </c>
      <c r="O228" s="406"/>
      <c r="P228" s="414"/>
      <c r="Q228" s="785" t="str">
        <f>IF(OR($O228=$M228,$O228=0,$O228=""),"","*CHECK!*")</f>
        <v/>
      </c>
      <c r="R228" s="782" t="s">
        <v>3926</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1"/>
      <c r="B231" s="4402"/>
      <c r="C231" s="4402"/>
      <c r="D231" s="4402"/>
      <c r="E231" s="4402"/>
      <c r="F231" s="4402"/>
      <c r="G231" s="4402"/>
      <c r="H231" s="4402"/>
      <c r="I231" s="4402"/>
      <c r="J231" s="4402"/>
      <c r="K231" s="4402"/>
      <c r="L231" s="4402"/>
      <c r="M231" s="4402"/>
      <c r="N231" s="4402"/>
      <c r="O231" s="4402"/>
      <c r="P231" s="440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9"/>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2"/>
      <c r="B238" s="4343"/>
      <c r="C238" s="4343"/>
      <c r="D238" s="4343"/>
      <c r="E238" s="4343"/>
      <c r="F238" s="4343"/>
      <c r="G238" s="4343"/>
      <c r="H238" s="4343"/>
      <c r="I238" s="4343"/>
      <c r="J238" s="4343"/>
      <c r="K238" s="4343"/>
      <c r="L238" s="4343"/>
      <c r="M238" s="4343"/>
      <c r="N238" s="4343"/>
      <c r="O238" s="4343"/>
      <c r="P238" s="434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1"/>
      <c r="B240" s="4402"/>
      <c r="C240" s="4402"/>
      <c r="D240" s="4402"/>
      <c r="E240" s="4402"/>
      <c r="F240" s="4402"/>
      <c r="G240" s="4402"/>
      <c r="H240" s="4402"/>
      <c r="I240" s="4402"/>
      <c r="J240" s="4402"/>
      <c r="K240" s="4402"/>
      <c r="L240" s="4402"/>
      <c r="M240" s="4402"/>
      <c r="N240" s="4402"/>
      <c r="O240" s="4402"/>
      <c r="P240" s="440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3906</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3926</v>
      </c>
      <c r="S242" s="826"/>
      <c r="T242" s="826"/>
      <c r="U242" s="826"/>
      <c r="V242" s="826"/>
      <c r="W242" s="847"/>
      <c r="X242" s="847"/>
    </row>
    <row r="243" spans="1:27" s="79" customFormat="1" ht="11.25">
      <c r="A243" s="349"/>
      <c r="B243" s="108" t="s">
        <v>4152</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4153</v>
      </c>
      <c r="E244" s="33" t="s">
        <v>3223</v>
      </c>
      <c r="G244" s="1555"/>
      <c r="H244" s="48" t="s">
        <v>573</v>
      </c>
      <c r="I244" s="4370"/>
      <c r="J244" s="4370"/>
      <c r="L244" s="1574" t="s">
        <v>4155</v>
      </c>
      <c r="M244" s="4371"/>
      <c r="N244" s="4371"/>
    </row>
    <row r="245" spans="1:27" s="32" customFormat="1" ht="11.25" customHeight="1">
      <c r="A245" s="306"/>
      <c r="B245" s="349" t="s">
        <v>1841</v>
      </c>
      <c r="C245" s="29" t="s">
        <v>4154</v>
      </c>
      <c r="E245" s="33" t="s">
        <v>3223</v>
      </c>
      <c r="G245" s="1556"/>
      <c r="H245" s="48" t="s">
        <v>573</v>
      </c>
      <c r="I245" s="4500"/>
      <c r="J245" s="4500"/>
      <c r="L245" s="1574" t="s">
        <v>4155</v>
      </c>
      <c r="M245" s="4504"/>
      <c r="N245" s="45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342"/>
      <c r="B248" s="4343"/>
      <c r="C248" s="4343"/>
      <c r="D248" s="4343"/>
      <c r="E248" s="4343"/>
      <c r="F248" s="4343"/>
      <c r="G248" s="4343"/>
      <c r="H248" s="4343"/>
      <c r="I248" s="4343"/>
      <c r="J248" s="4343"/>
      <c r="K248" s="4343"/>
      <c r="L248" s="4343"/>
      <c r="M248" s="4343"/>
      <c r="N248" s="4343"/>
      <c r="O248" s="4343"/>
      <c r="P248" s="434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2"/>
      <c r="B250" s="4143"/>
      <c r="C250" s="4143"/>
      <c r="D250" s="4143"/>
      <c r="E250" s="4143"/>
      <c r="F250" s="4143"/>
      <c r="G250" s="4143"/>
      <c r="H250" s="4143"/>
      <c r="I250" s="4143"/>
      <c r="J250" s="4143"/>
      <c r="K250" s="4143"/>
      <c r="L250" s="4143"/>
      <c r="M250" s="4143"/>
      <c r="N250" s="4143"/>
      <c r="O250" s="4143"/>
      <c r="P250" s="414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3834</v>
      </c>
      <c r="D252" s="34"/>
      <c r="E252" s="44" t="s">
        <v>4161</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3926</v>
      </c>
      <c r="S252" s="1557"/>
      <c r="T252" s="1557"/>
      <c r="U252" s="1557"/>
      <c r="V252" s="1557"/>
      <c r="W252" s="847"/>
      <c r="X252" s="847"/>
    </row>
    <row r="253" spans="1:27" s="26" customFormat="1" ht="11.25" customHeight="1">
      <c r="A253" s="107" t="s">
        <v>1836</v>
      </c>
      <c r="B253" s="141" t="s">
        <v>4160</v>
      </c>
      <c r="M253" s="457">
        <v>5</v>
      </c>
      <c r="N253" s="48" t="s">
        <v>1836</v>
      </c>
      <c r="O253" s="1558"/>
      <c r="P253" s="888"/>
      <c r="Q253" s="785" t="str">
        <f>IF(OR($O253=$M253,$O253=$M253-1,$O253=0,$O253=""),"","*CHECK!*")</f>
        <v/>
      </c>
      <c r="R253" s="782" t="s">
        <v>3926</v>
      </c>
      <c r="S253" s="1557"/>
      <c r="T253" s="1557"/>
      <c r="U253" s="1557"/>
      <c r="V253" s="1557"/>
    </row>
    <row r="254" spans="1:27" s="26" customFormat="1" ht="11.25" customHeight="1">
      <c r="A254" s="107" t="s">
        <v>1838</v>
      </c>
      <c r="B254" s="141" t="s">
        <v>4162</v>
      </c>
      <c r="M254" s="457">
        <v>3</v>
      </c>
      <c r="N254" s="48" t="s">
        <v>1838</v>
      </c>
      <c r="O254" s="405"/>
      <c r="P254" s="413"/>
      <c r="Q254" s="785" t="str">
        <f>IF(OR($O254=$M254,$O254=$M254-1,$O254=0,$O254=""),"","*CHECK!*")</f>
        <v/>
      </c>
      <c r="R254" s="782" t="s">
        <v>3926</v>
      </c>
    </row>
    <row r="255" spans="1:27">
      <c r="A255" s="107" t="s">
        <v>697</v>
      </c>
      <c r="B255" s="141" t="s">
        <v>4163</v>
      </c>
      <c r="E255" s="33" t="s">
        <v>4125</v>
      </c>
      <c r="I255" s="1259"/>
      <c r="L255" s="1516"/>
      <c r="M255" s="457">
        <v>3</v>
      </c>
      <c r="N255" s="48" t="s">
        <v>697</v>
      </c>
      <c r="O255" s="406"/>
      <c r="P255" s="414"/>
      <c r="Q255" s="785" t="str">
        <f>IF(OR($O255=$M255,$O255=$M255-1,$O255=0,$O255=""),"","*CHECK!*")</f>
        <v/>
      </c>
      <c r="R255" s="782" t="s">
        <v>3926</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342"/>
      <c r="B257" s="4343"/>
      <c r="C257" s="4343"/>
      <c r="D257" s="4343"/>
      <c r="E257" s="4343"/>
      <c r="F257" s="4343"/>
      <c r="G257" s="4343"/>
      <c r="H257" s="4343"/>
      <c r="I257" s="4343"/>
      <c r="J257" s="4343"/>
      <c r="K257" s="4343"/>
      <c r="L257" s="4343"/>
      <c r="M257" s="4343"/>
      <c r="N257" s="4343"/>
      <c r="O257" s="4343"/>
      <c r="P257" s="434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2"/>
      <c r="B259" s="4143"/>
      <c r="C259" s="4143"/>
      <c r="D259" s="4143"/>
      <c r="E259" s="4143"/>
      <c r="F259" s="4143"/>
      <c r="G259" s="4143"/>
      <c r="H259" s="4143"/>
      <c r="I259" s="4143"/>
      <c r="J259" s="4143"/>
      <c r="K259" s="4143"/>
      <c r="L259" s="4143"/>
      <c r="M259" s="4143"/>
      <c r="N259" s="4143"/>
      <c r="O259" s="4143"/>
      <c r="P259" s="4144"/>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3927</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4506</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4507</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4508</v>
      </c>
      <c r="D265" s="46"/>
      <c r="E265" s="46"/>
      <c r="F265" s="37"/>
      <c r="G265"/>
      <c r="K265" s="48"/>
      <c r="M265" s="457">
        <v>1</v>
      </c>
      <c r="N265" s="150" t="s">
        <v>2326</v>
      </c>
      <c r="O265" s="176"/>
      <c r="P265" s="420"/>
      <c r="R265" s="236"/>
      <c r="T265" s="832"/>
      <c r="U265" s="832"/>
    </row>
    <row r="266" spans="1:21" s="36" customFormat="1" ht="11.25" customHeight="1">
      <c r="A266" s="107" t="s">
        <v>1838</v>
      </c>
      <c r="B266" s="141" t="s">
        <v>3826</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5" t="s">
        <v>4509</v>
      </c>
      <c r="C267" s="4125"/>
      <c r="D267" s="4125"/>
      <c r="E267" s="4125"/>
      <c r="F267" s="4125"/>
      <c r="G267" s="4125"/>
      <c r="H267" s="4125"/>
      <c r="I267" s="4125"/>
      <c r="J267" s="4125"/>
      <c r="K267" s="4125"/>
      <c r="L267" s="4125"/>
      <c r="M267" s="5"/>
      <c r="N267" s="48"/>
      <c r="O267" s="925"/>
      <c r="P267" s="926"/>
      <c r="Q267" s="236"/>
      <c r="R267" s="307"/>
      <c r="T267" s="832"/>
      <c r="U267" s="832"/>
    </row>
    <row r="268" spans="1:21" s="36" customFormat="1" ht="11.25" customHeight="1">
      <c r="A268" s="107" t="s">
        <v>697</v>
      </c>
      <c r="B268" s="141" t="s">
        <v>3699</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3" t="s">
        <v>4510</v>
      </c>
      <c r="C269" s="4103"/>
      <c r="D269" s="4103"/>
      <c r="E269" s="4103"/>
      <c r="F269" s="4103"/>
      <c r="G269" s="4103"/>
      <c r="H269" s="4103"/>
      <c r="I269" s="4103"/>
      <c r="J269" s="4103"/>
      <c r="K269" s="4103"/>
      <c r="L269" s="4103"/>
      <c r="M269" s="5"/>
      <c r="N269" s="48"/>
      <c r="O269" s="883"/>
      <c r="P269" s="882"/>
      <c r="Q269" s="236"/>
      <c r="R269" s="307"/>
      <c r="T269" s="832"/>
      <c r="U269" s="832"/>
    </row>
    <row r="270" spans="1:21" s="36" customFormat="1" ht="22.5" customHeight="1">
      <c r="B270" s="4103" t="s">
        <v>4126</v>
      </c>
      <c r="C270" s="4103"/>
      <c r="D270" s="4103"/>
      <c r="E270" s="4103"/>
      <c r="F270" s="4103"/>
      <c r="G270" s="4103"/>
      <c r="H270" s="4103"/>
      <c r="I270" s="4103"/>
      <c r="J270" s="4103"/>
      <c r="K270" s="4103"/>
      <c r="L270" s="410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2"/>
      <c r="B272" s="4143"/>
      <c r="C272" s="4143"/>
      <c r="D272" s="4143"/>
      <c r="E272" s="4143"/>
      <c r="F272" s="4143"/>
      <c r="G272" s="4143"/>
      <c r="H272" s="4143"/>
      <c r="I272" s="4143"/>
      <c r="J272" s="4143"/>
      <c r="K272" s="4143"/>
      <c r="L272" s="4143"/>
      <c r="M272" s="4143"/>
      <c r="N272" s="4143"/>
      <c r="O272" s="4143"/>
      <c r="P272" s="414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4466</v>
      </c>
      <c r="D274" s="38"/>
      <c r="E274" s="38"/>
      <c r="G274" s="1537"/>
      <c r="H274" s="147"/>
      <c r="I274" s="1535" t="s">
        <v>4039</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4467</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4468</v>
      </c>
      <c r="D277" s="371"/>
      <c r="L277" s="371"/>
      <c r="M277" s="869">
        <v>2</v>
      </c>
      <c r="N277" s="48" t="s">
        <v>1838</v>
      </c>
      <c r="O277" s="176"/>
      <c r="P277" s="420"/>
      <c r="Q277" s="795">
        <f>IF(L277="Yes",1,0)</f>
        <v>0</v>
      </c>
      <c r="R277" s="1542"/>
      <c r="S277" s="1542"/>
      <c r="T277" s="1542"/>
      <c r="U277" s="1542"/>
      <c r="V277" s="1542"/>
    </row>
    <row r="278" spans="1:24" ht="11.25" customHeight="1">
      <c r="B278" s="241" t="s">
        <v>4574</v>
      </c>
      <c r="D278" s="371"/>
      <c r="L278" s="371"/>
      <c r="M278" s="869"/>
      <c r="N278" s="869"/>
      <c r="O278" s="869"/>
      <c r="P278" s="869"/>
      <c r="Q278" s="795"/>
      <c r="R278" s="1542"/>
      <c r="S278" s="1542"/>
      <c r="T278" s="1542"/>
      <c r="U278" s="1542"/>
      <c r="V278" s="1542"/>
    </row>
    <row r="279" spans="1:24" ht="38.25" customHeight="1">
      <c r="B279" s="4521"/>
      <c r="C279" s="4522"/>
      <c r="D279" s="4522"/>
      <c r="E279" s="4522"/>
      <c r="F279" s="4522"/>
      <c r="G279" s="4522"/>
      <c r="H279" s="4522"/>
      <c r="I279" s="4522"/>
      <c r="J279" s="4522"/>
      <c r="K279" s="4522"/>
      <c r="L279" s="4522"/>
      <c r="M279" s="4522"/>
      <c r="N279" s="4522"/>
      <c r="O279" s="4522"/>
      <c r="P279" s="4523"/>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2"/>
      <c r="B281" s="4343"/>
      <c r="C281" s="4343"/>
      <c r="D281" s="4343"/>
      <c r="E281" s="4343"/>
      <c r="F281" s="4343"/>
      <c r="G281" s="4343"/>
      <c r="H281" s="4343"/>
      <c r="I281" s="4343"/>
      <c r="J281" s="4343"/>
      <c r="K281" s="4343"/>
      <c r="L281" s="4343"/>
      <c r="M281" s="4343"/>
      <c r="N281" s="4343"/>
      <c r="O281" s="4343"/>
      <c r="P281" s="434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1"/>
      <c r="B283" s="4402"/>
      <c r="C283" s="4402"/>
      <c r="D283" s="4402"/>
      <c r="E283" s="4402"/>
      <c r="F283" s="4402"/>
      <c r="G283" s="4402"/>
      <c r="H283" s="4402"/>
      <c r="I283" s="4402"/>
      <c r="J283" s="4402"/>
      <c r="K283" s="4402"/>
      <c r="L283" s="4402"/>
      <c r="M283" s="4402"/>
      <c r="N283" s="4402"/>
      <c r="O283" s="4402"/>
      <c r="P283" s="440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4471</v>
      </c>
      <c r="D285" s="38"/>
      <c r="E285" s="38"/>
      <c r="G285" s="1537"/>
      <c r="H285" s="147"/>
      <c r="I285" s="147" t="s">
        <v>4593</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4587</v>
      </c>
      <c r="D286" s="38"/>
      <c r="E286" s="38"/>
      <c r="G286" s="147"/>
      <c r="J286" s="1253"/>
      <c r="M286" s="455"/>
      <c r="Q286" s="86"/>
      <c r="R286" s="1542"/>
      <c r="S286" s="1542"/>
      <c r="T286" s="1542"/>
      <c r="U286" s="1542"/>
      <c r="V286" s="1542"/>
      <c r="W286" s="36"/>
      <c r="X286" s="36"/>
    </row>
    <row r="287" spans="1:24" s="70" customFormat="1" ht="11.25" customHeight="1">
      <c r="A287" s="120"/>
      <c r="C287" s="29" t="s">
        <v>4584</v>
      </c>
      <c r="G287" s="147"/>
      <c r="I287" s="4549"/>
      <c r="J287" s="4550"/>
      <c r="K287" s="4551"/>
      <c r="L287" s="4552"/>
      <c r="M287" s="455"/>
      <c r="O287" s="1829"/>
      <c r="P287" s="1830"/>
      <c r="Q287" s="86"/>
      <c r="R287" s="1542"/>
      <c r="S287" s="1542"/>
      <c r="T287" s="1542"/>
      <c r="U287" s="1542"/>
      <c r="V287" s="1542"/>
      <c r="W287" s="36"/>
      <c r="X287" s="36"/>
    </row>
    <row r="288" spans="1:24" s="70" customFormat="1" ht="11.25" customHeight="1">
      <c r="A288" s="120"/>
      <c r="C288" s="29" t="s">
        <v>4583</v>
      </c>
      <c r="G288" s="147"/>
      <c r="I288" s="4553"/>
      <c r="J288" s="4554"/>
      <c r="M288" s="455"/>
      <c r="O288" s="1829"/>
      <c r="P288" s="1830"/>
      <c r="Q288" s="86"/>
      <c r="R288" s="1542"/>
      <c r="S288" s="1542"/>
      <c r="T288" s="1542"/>
      <c r="U288" s="1542"/>
      <c r="V288" s="1542"/>
      <c r="W288" s="36"/>
      <c r="X288" s="36"/>
    </row>
    <row r="289" spans="1:24" s="70" customFormat="1" ht="11.25" customHeight="1">
      <c r="A289" s="120"/>
      <c r="C289" s="29" t="s">
        <v>4585</v>
      </c>
      <c r="G289" s="147"/>
      <c r="I289" s="4555" t="s">
        <v>4586</v>
      </c>
      <c r="J289" s="4556"/>
      <c r="K289" s="4557"/>
      <c r="L289" s="4558"/>
      <c r="M289" s="455"/>
      <c r="O289" s="4559" t="s">
        <v>3064</v>
      </c>
      <c r="P289" s="4559" t="s">
        <v>3065</v>
      </c>
      <c r="Q289" s="86"/>
      <c r="R289" s="1542"/>
      <c r="S289" s="1542"/>
      <c r="T289" s="1542"/>
      <c r="U289" s="1542"/>
      <c r="V289" s="1542"/>
      <c r="W289" s="36"/>
      <c r="X289" s="36"/>
    </row>
    <row r="290" spans="1:24" s="36" customFormat="1" ht="11.25" customHeight="1">
      <c r="A290" s="120"/>
      <c r="B290" s="29" t="s">
        <v>4475</v>
      </c>
      <c r="D290" s="34"/>
      <c r="H290" s="141"/>
      <c r="M290" s="119"/>
      <c r="N290" s="48"/>
      <c r="O290" s="4560"/>
      <c r="P290" s="4560"/>
      <c r="Q290" s="86"/>
      <c r="R290" s="866"/>
      <c r="S290" s="866"/>
      <c r="T290" s="866"/>
      <c r="U290" s="866"/>
    </row>
    <row r="291" spans="1:24" s="36" customFormat="1" ht="11.25" customHeight="1">
      <c r="A291" s="1828"/>
      <c r="B291" s="128" t="s">
        <v>2234</v>
      </c>
      <c r="C291" s="29" t="s">
        <v>4474</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4592</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4476</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4472</v>
      </c>
      <c r="D295" s="371"/>
      <c r="E295" s="371"/>
      <c r="G295" s="371" t="s">
        <v>4480</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3" t="s">
        <v>4481</v>
      </c>
      <c r="D296" s="4103"/>
      <c r="E296" s="4103"/>
      <c r="F296" s="4103"/>
      <c r="G296" s="4103"/>
      <c r="H296" s="4103"/>
      <c r="I296" s="4103"/>
      <c r="J296" s="4103"/>
      <c r="K296" s="4103"/>
      <c r="L296" s="4103"/>
      <c r="M296" s="4103"/>
      <c r="N296" s="150" t="s">
        <v>1839</v>
      </c>
      <c r="O296" s="1224"/>
      <c r="P296" s="1225"/>
      <c r="Q296" s="330"/>
      <c r="R296" s="1750"/>
      <c r="S296" s="1750"/>
      <c r="T296" s="1750"/>
      <c r="U296" s="1750"/>
    </row>
    <row r="297" spans="1:24" s="331" customFormat="1" ht="21.75" customHeight="1" thickBot="1">
      <c r="A297" s="1520"/>
      <c r="B297" s="349" t="s">
        <v>1841</v>
      </c>
      <c r="C297" s="4103" t="s">
        <v>4482</v>
      </c>
      <c r="D297" s="4103"/>
      <c r="E297" s="4103"/>
      <c r="F297" s="4103"/>
      <c r="G297" s="4103"/>
      <c r="H297" s="4103"/>
      <c r="I297" s="4103"/>
      <c r="J297" s="4103"/>
      <c r="K297" s="4103"/>
      <c r="L297" s="4103"/>
      <c r="M297" s="4103"/>
      <c r="N297" s="150" t="s">
        <v>1841</v>
      </c>
      <c r="O297" s="883"/>
      <c r="P297" s="882"/>
      <c r="Q297" s="330"/>
      <c r="R297" s="1750"/>
      <c r="S297" s="1750"/>
      <c r="T297" s="1750"/>
      <c r="U297" s="1750"/>
    </row>
    <row r="298" spans="1:24" ht="11.25" customHeight="1" thickBot="1">
      <c r="A298" s="674" t="s">
        <v>1838</v>
      </c>
      <c r="B298" s="872" t="s">
        <v>4473</v>
      </c>
      <c r="D298" s="371"/>
      <c r="G298" s="44" t="s">
        <v>4483</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3" t="s">
        <v>4484</v>
      </c>
      <c r="D299" s="4103"/>
      <c r="E299" s="4103"/>
      <c r="F299" s="4103"/>
      <c r="G299" s="4103"/>
      <c r="H299" s="4103"/>
      <c r="I299" s="4103"/>
      <c r="J299" s="4103"/>
      <c r="K299" s="4103"/>
      <c r="L299" s="4103"/>
      <c r="M299" s="4103"/>
      <c r="N299" s="150" t="s">
        <v>1839</v>
      </c>
      <c r="O299" s="1224"/>
      <c r="P299" s="1225"/>
      <c r="Q299" s="330"/>
      <c r="R299" s="1750"/>
      <c r="S299" s="1750"/>
      <c r="T299" s="1750"/>
      <c r="U299" s="1750"/>
    </row>
    <row r="300" spans="1:24" s="331" customFormat="1" ht="10.5" customHeight="1">
      <c r="A300" s="1520"/>
      <c r="B300" s="349" t="s">
        <v>1841</v>
      </c>
      <c r="C300" s="4103" t="s">
        <v>4485</v>
      </c>
      <c r="D300" s="4103"/>
      <c r="E300" s="4103"/>
      <c r="F300" s="4103"/>
      <c r="G300" s="4103"/>
      <c r="H300" s="4103"/>
      <c r="I300" s="4103"/>
      <c r="J300" s="4103"/>
      <c r="K300" s="4103"/>
      <c r="L300" s="4103"/>
      <c r="M300" s="4103"/>
      <c r="N300" s="150" t="s">
        <v>1841</v>
      </c>
      <c r="O300" s="883"/>
      <c r="P300" s="882"/>
      <c r="Q300" s="330"/>
      <c r="R300" s="1750"/>
      <c r="S300" s="1750"/>
      <c r="T300" s="1750"/>
      <c r="U300" s="1750"/>
    </row>
    <row r="301" spans="1:24" s="331" customFormat="1" ht="10.5" customHeight="1">
      <c r="A301" s="1520"/>
      <c r="B301" s="349" t="s">
        <v>2326</v>
      </c>
      <c r="C301" s="673" t="s">
        <v>4588</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4486</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4487</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3" t="s">
        <v>4488</v>
      </c>
      <c r="D304" s="4103"/>
      <c r="E304" s="4103"/>
      <c r="F304" s="4103"/>
      <c r="G304" s="4103"/>
      <c r="H304" s="4103"/>
      <c r="I304" s="4103"/>
      <c r="J304" s="4103"/>
      <c r="K304" s="4103"/>
      <c r="L304" s="4103"/>
      <c r="M304" s="4103"/>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2"/>
      <c r="B306" s="4343"/>
      <c r="C306" s="4343"/>
      <c r="D306" s="4343"/>
      <c r="E306" s="4343"/>
      <c r="F306" s="4343"/>
      <c r="G306" s="4343"/>
      <c r="H306" s="4343"/>
      <c r="I306" s="4343"/>
      <c r="J306" s="4343"/>
      <c r="K306" s="4343"/>
      <c r="L306" s="4343"/>
      <c r="M306" s="4343"/>
      <c r="N306" s="4343"/>
      <c r="O306" s="4343"/>
      <c r="P306" s="434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1"/>
      <c r="B308" s="4402"/>
      <c r="C308" s="4402"/>
      <c r="D308" s="4402"/>
      <c r="E308" s="4402"/>
      <c r="F308" s="4402"/>
      <c r="G308" s="4402"/>
      <c r="H308" s="4402"/>
      <c r="I308" s="4402"/>
      <c r="J308" s="4402"/>
      <c r="K308" s="4402"/>
      <c r="L308" s="4402"/>
      <c r="M308" s="4402"/>
      <c r="N308" s="4402"/>
      <c r="O308" s="4402"/>
      <c r="P308" s="440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4477</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4478</v>
      </c>
      <c r="D311" s="371"/>
      <c r="E311" s="371" t="s">
        <v>4489</v>
      </c>
      <c r="F311" s="371"/>
      <c r="G311" s="371"/>
      <c r="H311" s="371"/>
      <c r="I311" s="4367"/>
      <c r="J311" s="4368"/>
      <c r="K311" s="4368"/>
      <c r="L311" s="4369"/>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4479</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2"/>
      <c r="B314" s="4343"/>
      <c r="C314" s="4343"/>
      <c r="D314" s="4343"/>
      <c r="E314" s="4343"/>
      <c r="F314" s="4343"/>
      <c r="G314" s="4343"/>
      <c r="H314" s="4343"/>
      <c r="I314" s="4343"/>
      <c r="J314" s="4343"/>
      <c r="K314" s="4343"/>
      <c r="L314" s="4343"/>
      <c r="M314" s="4343"/>
      <c r="N314" s="4343"/>
      <c r="O314" s="4343"/>
      <c r="P314" s="434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1"/>
      <c r="B316" s="4402"/>
      <c r="C316" s="4402"/>
      <c r="D316" s="4402"/>
      <c r="E316" s="4402"/>
      <c r="F316" s="4402"/>
      <c r="G316" s="4402"/>
      <c r="H316" s="4402"/>
      <c r="I316" s="4402"/>
      <c r="J316" s="4402"/>
      <c r="K316" s="4402"/>
      <c r="L316" s="4402"/>
      <c r="M316" s="4402"/>
      <c r="N316" s="4402"/>
      <c r="O316" s="4402"/>
      <c r="P316" s="440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4144</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4127</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3945</v>
      </c>
      <c r="K320" s="1517">
        <f>'Part VIII Scoring Criteria OLD'!P42</f>
        <v>0</v>
      </c>
      <c r="M320" s="457">
        <v>2</v>
      </c>
      <c r="N320" s="48" t="s">
        <v>1836</v>
      </c>
      <c r="P320" s="415"/>
      <c r="Q320" s="86"/>
      <c r="R320" s="854" t="s">
        <v>2452</v>
      </c>
    </row>
    <row r="321" spans="1:19" s="70" customFormat="1" ht="10.5" customHeight="1">
      <c r="A321" s="674"/>
      <c r="B321" s="306" t="s">
        <v>1839</v>
      </c>
      <c r="C321" s="29" t="s">
        <v>3714</v>
      </c>
      <c r="D321" s="26"/>
      <c r="N321" s="347" t="s">
        <v>3715</v>
      </c>
      <c r="O321" s="175"/>
      <c r="P321" s="418"/>
      <c r="R321" s="307"/>
    </row>
    <row r="322" spans="1:19" s="70" customFormat="1" ht="10.5" customHeight="1">
      <c r="A322" s="674"/>
      <c r="B322" s="306"/>
      <c r="C322" s="29" t="s">
        <v>4469</v>
      </c>
      <c r="D322" s="26"/>
      <c r="N322" s="347" t="s">
        <v>3716</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3717</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3714</v>
      </c>
      <c r="D327" s="29"/>
      <c r="E327" s="29"/>
      <c r="M327" s="119"/>
      <c r="N327" s="347" t="s">
        <v>3715</v>
      </c>
      <c r="O327" s="175"/>
      <c r="P327" s="418"/>
      <c r="Q327" s="86"/>
    </row>
    <row r="328" spans="1:19" s="70" customFormat="1" ht="10.5" customHeight="1">
      <c r="A328" s="107"/>
      <c r="B328" s="306"/>
      <c r="C328" s="29" t="s">
        <v>4470</v>
      </c>
      <c r="D328" s="26"/>
      <c r="N328" s="347" t="s">
        <v>3716</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2"/>
      <c r="B332" s="4143"/>
      <c r="C332" s="4143"/>
      <c r="D332" s="4143"/>
      <c r="E332" s="4143"/>
      <c r="F332" s="4143"/>
      <c r="G332" s="4143"/>
      <c r="H332" s="4143"/>
      <c r="I332" s="4143"/>
      <c r="J332" s="4143"/>
      <c r="K332" s="4143"/>
      <c r="L332" s="4143"/>
      <c r="M332" s="4143"/>
      <c r="N332" s="4143"/>
      <c r="O332" s="4143"/>
      <c r="P332" s="4144"/>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3926</v>
      </c>
      <c r="S334" s="1559"/>
    </row>
    <row r="335" spans="1:19" s="36" customFormat="1" ht="11.25" customHeight="1">
      <c r="A335" s="107"/>
      <c r="B335" s="89" t="s">
        <v>3068</v>
      </c>
      <c r="D335" s="67"/>
      <c r="E335" s="67"/>
      <c r="G335" s="29"/>
      <c r="I335" s="3429" t="s">
        <v>3959</v>
      </c>
      <c r="J335" s="3430"/>
      <c r="K335" s="3430"/>
      <c r="L335" s="3431"/>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 customHeight="1" thickTop="1" thickBot="1">
      <c r="A338" s="4342"/>
      <c r="B338" s="4343"/>
      <c r="C338" s="4343"/>
      <c r="D338" s="4343"/>
      <c r="E338" s="4343"/>
      <c r="F338" s="4343"/>
      <c r="G338" s="4343"/>
      <c r="H338" s="4343"/>
      <c r="I338" s="4343"/>
      <c r="J338" s="4343"/>
      <c r="K338" s="4343"/>
      <c r="L338" s="4343"/>
      <c r="M338" s="4343"/>
      <c r="N338" s="4343"/>
      <c r="O338" s="4343"/>
      <c r="P338" s="434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2"/>
      <c r="B340" s="4143"/>
      <c r="C340" s="4143"/>
      <c r="D340" s="4143"/>
      <c r="E340" s="4143"/>
      <c r="F340" s="4143"/>
      <c r="G340" s="4143"/>
      <c r="H340" s="4143"/>
      <c r="I340" s="4143"/>
      <c r="J340" s="4143"/>
      <c r="K340" s="4143"/>
      <c r="L340" s="4143"/>
      <c r="M340" s="4143"/>
      <c r="N340" s="4143"/>
      <c r="O340" s="4143"/>
      <c r="P340" s="4144"/>
      <c r="Q340" s="353"/>
    </row>
    <row r="341" spans="1:20" ht="3" customHeight="1" thickBot="1"/>
    <row r="342" spans="1:20" s="36" customFormat="1" ht="13.5" customHeight="1" thickBot="1">
      <c r="A342" s="120" t="s">
        <v>3286</v>
      </c>
      <c r="B342" s="83" t="s">
        <v>3257</v>
      </c>
      <c r="D342" s="67"/>
      <c r="E342" s="67"/>
      <c r="F342" s="29"/>
      <c r="G342" s="29"/>
      <c r="H342" s="29"/>
      <c r="J342" s="1877" t="s">
        <v>4038</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4491</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8" t="str">
        <f>IF(OR(O344="No",O344="",O345="No",O345="",O346="No",O346="",O347="No",O347=""),"Unmet criterion results in no points!","")</f>
        <v>Unmet criterion results in no points!</v>
      </c>
      <c r="M344" s="4498"/>
      <c r="N344" s="49" t="s">
        <v>2234</v>
      </c>
      <c r="O344" s="175"/>
      <c r="P344" s="418"/>
      <c r="R344" s="4494" t="str">
        <f>IF(OR(P344="No",P344="",P345="No",P345="",P346="No",P346="",P347="No",P347=""),"Unmet criterion results in no points!","")</f>
        <v>Unmet criterion results in no points!</v>
      </c>
      <c r="S344" s="4494" t="e">
        <f>IF(OR(V344="No",V344="",V345="No",V345="",V346="No",V346="",V347="No",V347="",#REF!="No",#REF!="",#REF!="No",#REF!=""),"Unmet criterion results in no points!","")</f>
        <v>#REF!</v>
      </c>
    </row>
    <row r="345" spans="1:20" s="79" customFormat="1" ht="12.75" customHeight="1">
      <c r="B345" s="49" t="s">
        <v>2235</v>
      </c>
      <c r="C345" s="29" t="s">
        <v>3189</v>
      </c>
      <c r="L345" s="4498"/>
      <c r="M345" s="4498"/>
      <c r="N345" s="49" t="s">
        <v>2235</v>
      </c>
      <c r="O345" s="299"/>
      <c r="P345" s="419"/>
      <c r="R345" s="4494"/>
      <c r="S345" s="4494"/>
    </row>
    <row r="346" spans="1:20" s="79" customFormat="1" ht="12.75" customHeight="1">
      <c r="B346" s="49" t="s">
        <v>2236</v>
      </c>
      <c r="C346" s="29" t="s">
        <v>3188</v>
      </c>
      <c r="L346" s="4498"/>
      <c r="M346" s="4498"/>
      <c r="N346" s="49" t="s">
        <v>2236</v>
      </c>
      <c r="O346" s="299"/>
      <c r="P346" s="419"/>
      <c r="R346" s="4494"/>
      <c r="S346" s="4494"/>
    </row>
    <row r="347" spans="1:20" s="79" customFormat="1" ht="33.75" customHeight="1">
      <c r="B347" s="117" t="s">
        <v>2237</v>
      </c>
      <c r="C347" s="4103" t="s">
        <v>4490</v>
      </c>
      <c r="D347" s="4103"/>
      <c r="E347" s="4103"/>
      <c r="F347" s="4103"/>
      <c r="G347" s="4103"/>
      <c r="H347" s="4103"/>
      <c r="I347" s="4103"/>
      <c r="J347" s="4103"/>
      <c r="K347" s="4103"/>
      <c r="L347" s="4103"/>
      <c r="M347" s="4103"/>
      <c r="N347" s="117" t="s">
        <v>2237</v>
      </c>
      <c r="O347" s="883"/>
      <c r="P347" s="882"/>
    </row>
    <row r="348" spans="1:20" ht="3" customHeight="1" thickBot="1">
      <c r="C348" s="4103"/>
      <c r="D348" s="4103"/>
      <c r="E348" s="4103"/>
      <c r="F348" s="4103"/>
      <c r="G348" s="4103"/>
      <c r="H348" s="4103"/>
      <c r="I348" s="4103"/>
      <c r="J348" s="4103"/>
      <c r="K348" s="4103"/>
      <c r="L348" s="4103"/>
      <c r="M348" s="4103"/>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3926</v>
      </c>
      <c r="S349" s="392"/>
      <c r="T349" s="1362"/>
    </row>
    <row r="350" spans="1:20" ht="12.75" customHeight="1">
      <c r="A350" s="793"/>
      <c r="B350" s="673" t="s">
        <v>4606</v>
      </c>
      <c r="C350" s="108"/>
      <c r="D350" s="108"/>
      <c r="E350" s="108"/>
      <c r="F350" s="108"/>
      <c r="G350" s="108"/>
      <c r="H350" s="108"/>
      <c r="I350" s="108"/>
      <c r="N350"/>
      <c r="O350" s="1337"/>
      <c r="P350" s="1336"/>
      <c r="R350" s="392"/>
      <c r="S350" s="392"/>
      <c r="T350" s="1362"/>
    </row>
    <row r="351" spans="1:20" ht="12.75" customHeight="1">
      <c r="A351" s="793"/>
      <c r="B351" s="1849" t="s">
        <v>4605</v>
      </c>
      <c r="C351" s="108"/>
      <c r="D351" s="108"/>
      <c r="E351" s="108"/>
      <c r="F351" s="108"/>
      <c r="G351" s="108"/>
      <c r="H351" s="108"/>
      <c r="I351" s="108"/>
      <c r="J351" s="4443" t="s">
        <v>1843</v>
      </c>
      <c r="K351" s="4443"/>
      <c r="M351" s="4443" t="s">
        <v>1843</v>
      </c>
      <c r="N351" s="4443"/>
      <c r="O351" s="4443"/>
      <c r="P351" s="4443"/>
      <c r="R351" s="1746"/>
      <c r="S351" s="1746"/>
      <c r="T351" s="1362"/>
    </row>
    <row r="352" spans="1:20" s="36" customFormat="1" ht="12.75" customHeight="1">
      <c r="A352" s="151"/>
      <c r="B352" s="150" t="s">
        <v>4492</v>
      </c>
      <c r="C352" s="29" t="s">
        <v>1386</v>
      </c>
      <c r="I352" s="49" t="s">
        <v>2234</v>
      </c>
      <c r="J352" s="4433"/>
      <c r="K352" s="4434"/>
      <c r="L352" s="49" t="s">
        <v>2234</v>
      </c>
      <c r="M352" s="4537"/>
      <c r="N352" s="4538"/>
      <c r="O352" s="4538"/>
      <c r="P352" s="4539"/>
      <c r="R352" s="307"/>
    </row>
    <row r="353" spans="1:18" ht="12.75" customHeight="1">
      <c r="A353" s="152"/>
      <c r="B353" s="117" t="s">
        <v>2235</v>
      </c>
      <c r="C353" s="29" t="s">
        <v>3070</v>
      </c>
      <c r="I353" s="117" t="s">
        <v>2235</v>
      </c>
      <c r="J353" s="4438"/>
      <c r="K353" s="4439"/>
      <c r="L353" s="117" t="s">
        <v>2235</v>
      </c>
      <c r="M353" s="4440"/>
      <c r="N353" s="4441"/>
      <c r="O353" s="4441"/>
      <c r="P353" s="4442"/>
      <c r="R353" s="307"/>
    </row>
    <row r="354" spans="1:18" ht="12.75" customHeight="1">
      <c r="B354" s="49" t="s">
        <v>2236</v>
      </c>
      <c r="C354" s="29" t="s">
        <v>3827</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4128</v>
      </c>
      <c r="I358" s="49" t="s">
        <v>2255</v>
      </c>
      <c r="J358" s="4438"/>
      <c r="K358" s="4439"/>
      <c r="L358" s="49" t="s">
        <v>2255</v>
      </c>
      <c r="M358" s="1513"/>
      <c r="N358" s="1514"/>
      <c r="O358" s="1514"/>
      <c r="P358" s="1515"/>
      <c r="R358" s="307"/>
    </row>
    <row r="359" spans="1:18" ht="12.75" customHeight="1">
      <c r="A359" s="152"/>
      <c r="B359" s="48" t="s">
        <v>2256</v>
      </c>
      <c r="C359" s="29" t="s">
        <v>3069</v>
      </c>
      <c r="I359" s="48" t="s">
        <v>2256</v>
      </c>
      <c r="J359" s="4438"/>
      <c r="K359" s="4439"/>
      <c r="L359" s="48" t="s">
        <v>2256</v>
      </c>
      <c r="M359" s="4440"/>
      <c r="N359" s="4441"/>
      <c r="O359" s="4441"/>
      <c r="P359" s="4442"/>
      <c r="R359" s="307"/>
    </row>
    <row r="360" spans="1:18" ht="12.75" customHeight="1">
      <c r="B360" s="48" t="s">
        <v>2257</v>
      </c>
      <c r="C360" s="29" t="s">
        <v>4493</v>
      </c>
      <c r="I360" s="48" t="s">
        <v>2257</v>
      </c>
      <c r="J360" s="4438"/>
      <c r="K360" s="4439"/>
      <c r="L360" s="48" t="s">
        <v>2257</v>
      </c>
      <c r="M360" s="4440"/>
      <c r="N360" s="4441"/>
      <c r="O360" s="4441"/>
      <c r="P360" s="4442"/>
      <c r="R360" s="307"/>
    </row>
    <row r="361" spans="1:18" ht="12.75" customHeight="1">
      <c r="B361" s="48" t="s">
        <v>3071</v>
      </c>
      <c r="C361" s="29" t="s">
        <v>3700</v>
      </c>
      <c r="I361" s="48" t="s">
        <v>3071</v>
      </c>
      <c r="J361" s="4438"/>
      <c r="K361" s="4439"/>
      <c r="L361" s="48" t="s">
        <v>3071</v>
      </c>
      <c r="M361" s="4440"/>
      <c r="N361" s="4441"/>
      <c r="O361" s="4441"/>
      <c r="P361" s="4442"/>
      <c r="R361" s="307"/>
    </row>
    <row r="362" spans="1:18" ht="12.75" customHeight="1" thickBot="1">
      <c r="B362" s="48" t="s">
        <v>4129</v>
      </c>
      <c r="C362" s="29" t="s">
        <v>4130</v>
      </c>
      <c r="I362" s="48" t="s">
        <v>4129</v>
      </c>
      <c r="J362" s="4438"/>
      <c r="K362" s="4439"/>
      <c r="L362" s="48" t="s">
        <v>4129</v>
      </c>
      <c r="M362" s="4528"/>
      <c r="N362" s="4529"/>
      <c r="O362" s="4529"/>
      <c r="P362" s="4530"/>
      <c r="R362" s="307"/>
    </row>
    <row r="363" spans="1:18" ht="12.75" customHeight="1" thickBot="1">
      <c r="B363" s="906" t="s">
        <v>4494</v>
      </c>
      <c r="H363" s="89" t="s">
        <v>2406</v>
      </c>
      <c r="J363" s="4429">
        <f>SUM(J352:K362)</f>
        <v>0</v>
      </c>
      <c r="K363" s="4430"/>
      <c r="M363" s="4429">
        <f>SUM($M352:$M362)</f>
        <v>0</v>
      </c>
      <c r="N363" s="4432"/>
      <c r="O363" s="4432"/>
      <c r="P363" s="4430"/>
      <c r="R363" s="307"/>
    </row>
    <row r="364" spans="1:18" ht="6" customHeight="1">
      <c r="M364" s="392"/>
      <c r="N364" s="392"/>
      <c r="O364" s="115"/>
      <c r="P364" s="392"/>
    </row>
    <row r="365" spans="1:18" s="36" customFormat="1" ht="12" customHeight="1">
      <c r="A365" s="35"/>
      <c r="B365" s="1134" t="s">
        <v>1841</v>
      </c>
      <c r="C365" s="399" t="s">
        <v>2405</v>
      </c>
      <c r="D365" s="230"/>
      <c r="E365" s="230"/>
      <c r="F365" s="33" t="s">
        <v>4131</v>
      </c>
      <c r="H365"/>
      <c r="I365"/>
      <c r="J365" s="4547" t="e">
        <f>#REF!</f>
        <v>#REF!</v>
      </c>
      <c r="K365" s="4548"/>
      <c r="L365" s="429"/>
      <c r="M365" s="392"/>
      <c r="N365" s="392"/>
      <c r="O365" s="868"/>
      <c r="P365" s="392"/>
    </row>
    <row r="366" spans="1:18" ht="13.5" customHeight="1">
      <c r="C366" s="230"/>
      <c r="D366" s="230"/>
      <c r="E366" s="230"/>
      <c r="F366" s="348" t="s">
        <v>4132</v>
      </c>
      <c r="J366" s="4545" t="e">
        <f>IF(J365=0,0,J363/J365)</f>
        <v>#REF!</v>
      </c>
      <c r="K366" s="4546"/>
      <c r="M366" s="4435" t="e">
        <f>IF($J365=0,0,$M363/$J365)</f>
        <v>#REF!</v>
      </c>
      <c r="N366" s="4436"/>
      <c r="O366" s="4436"/>
      <c r="P366" s="4437"/>
    </row>
    <row r="367" spans="1:18" s="36" customFormat="1" ht="12.75" customHeight="1">
      <c r="C367" s="230"/>
      <c r="D367" s="230"/>
      <c r="E367" s="230"/>
      <c r="F367" s="44" t="s">
        <v>4133</v>
      </c>
      <c r="I367"/>
      <c r="J367" s="4519">
        <f>IF(L344="", IF($J366&gt;=30000, 3,IF($J366&gt;=20000, 2,IF($J366&gt;=10000,1,0))),0)</f>
        <v>0</v>
      </c>
      <c r="K367" s="4520"/>
      <c r="L367" s="397"/>
      <c r="M367" s="4519">
        <f>IF(R344="", IF($M366&gt;=30000, 3,IF($M366&gt;=20000, 2,IF($M366&gt;=10000,1,0))),0)</f>
        <v>0</v>
      </c>
      <c r="N367" s="4544"/>
      <c r="O367" s="4544"/>
      <c r="P367" s="4520"/>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3926</v>
      </c>
      <c r="V369" s="832"/>
    </row>
    <row r="370" spans="1:22" s="36" customFormat="1" ht="22.5" customHeight="1">
      <c r="A370" s="107"/>
      <c r="B370" s="349" t="s">
        <v>1839</v>
      </c>
      <c r="C370" s="4103" t="s">
        <v>4495</v>
      </c>
      <c r="D370" s="4103"/>
      <c r="E370" s="4103"/>
      <c r="F370" s="4103"/>
      <c r="G370" s="4103"/>
      <c r="H370" s="4103"/>
      <c r="I370" s="4103"/>
      <c r="J370" s="4103"/>
      <c r="K370" s="4103"/>
      <c r="L370" s="4103"/>
      <c r="M370" s="4103"/>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3701</v>
      </c>
      <c r="N372" s="347" t="s">
        <v>2326</v>
      </c>
      <c r="O372" s="176"/>
      <c r="P372" s="420"/>
    </row>
    <row r="373" spans="1:22" ht="12" customHeight="1" thickBot="1">
      <c r="B373" s="924" t="s">
        <v>3155</v>
      </c>
    </row>
    <row r="374" spans="1:22" s="36" customFormat="1" ht="21.75" customHeight="1" thickTop="1" thickBot="1">
      <c r="A374" s="4342"/>
      <c r="B374" s="4343"/>
      <c r="C374" s="4343"/>
      <c r="D374" s="4343"/>
      <c r="E374" s="4343"/>
      <c r="F374" s="4343"/>
      <c r="G374" s="4343"/>
      <c r="H374" s="4343"/>
      <c r="I374" s="4343"/>
      <c r="J374" s="4343"/>
      <c r="K374" s="4343"/>
      <c r="L374" s="4343"/>
      <c r="M374" s="4343"/>
      <c r="N374" s="4343"/>
      <c r="O374" s="4343"/>
      <c r="P374" s="434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2"/>
      <c r="B376" s="4143"/>
      <c r="C376" s="4143"/>
      <c r="D376" s="4143"/>
      <c r="E376" s="4143"/>
      <c r="F376" s="4143"/>
      <c r="G376" s="4143"/>
      <c r="H376" s="4143"/>
      <c r="I376" s="4143"/>
      <c r="J376" s="4143"/>
      <c r="K376" s="4143"/>
      <c r="L376" s="4143"/>
      <c r="M376" s="4143"/>
      <c r="N376" s="4143"/>
      <c r="O376" s="4143"/>
      <c r="P376" s="414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3984</v>
      </c>
      <c r="I378" s="1463" t="s">
        <v>4144</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9" t="s">
        <v>3760</v>
      </c>
      <c r="E380" s="3430"/>
      <c r="F380" s="3430"/>
      <c r="G380" s="3430"/>
      <c r="H380" s="3430"/>
      <c r="I380" s="3431"/>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3828</v>
      </c>
      <c r="C382" s="108"/>
      <c r="D382" s="108"/>
      <c r="E382" s="108"/>
      <c r="F382" s="108"/>
      <c r="G382" s="108"/>
      <c r="H382" s="108"/>
      <c r="I382" s="108"/>
      <c r="M382" s="1758">
        <v>2</v>
      </c>
      <c r="N382" s="128" t="s">
        <v>1836</v>
      </c>
      <c r="O382" s="458"/>
      <c r="P382" s="1019"/>
      <c r="Q382" s="785" t="str">
        <f>IF(OR($O382=$M382,$O382=0,$O382=""),"","*CHECK!*")</f>
        <v/>
      </c>
      <c r="R382" s="782" t="s">
        <v>3926</v>
      </c>
    </row>
    <row r="383" spans="1:22" s="331" customFormat="1" ht="12" customHeight="1">
      <c r="A383" s="330"/>
      <c r="B383" s="4125" t="s">
        <v>4496</v>
      </c>
      <c r="C383" s="4125"/>
      <c r="D383" s="4125"/>
      <c r="E383" s="4125"/>
      <c r="F383" s="4125"/>
      <c r="G383" s="4125"/>
      <c r="H383" s="4125"/>
      <c r="I383" s="4125"/>
      <c r="J383" s="4125"/>
      <c r="K383" s="4125"/>
      <c r="L383" s="4125"/>
      <c r="M383" s="4527" t="s">
        <v>3761</v>
      </c>
      <c r="N383" s="4527"/>
      <c r="Q383" s="147"/>
    </row>
    <row r="384" spans="1:22" s="331" customFormat="1" ht="12" customHeight="1">
      <c r="B384" s="4125"/>
      <c r="C384" s="4125"/>
      <c r="D384" s="4125"/>
      <c r="E384" s="4125"/>
      <c r="F384" s="4125"/>
      <c r="G384" s="4125"/>
      <c r="H384" s="4125"/>
      <c r="I384" s="4125"/>
      <c r="J384" s="4125"/>
      <c r="K384" s="4125"/>
      <c r="L384" s="4125"/>
      <c r="M384" s="4527"/>
      <c r="N384" s="4527"/>
      <c r="O384" s="4533" t="e">
        <f>#REF!</f>
        <v>#REF!</v>
      </c>
      <c r="P384" s="4534"/>
      <c r="Q384" s="147"/>
    </row>
    <row r="385" spans="1:19" s="331" customFormat="1" ht="12" customHeight="1">
      <c r="B385" s="4125"/>
      <c r="C385" s="4125"/>
      <c r="D385" s="4125"/>
      <c r="E385" s="4125"/>
      <c r="F385" s="4125"/>
      <c r="G385" s="4125"/>
      <c r="H385" s="4125"/>
      <c r="I385" s="4125"/>
      <c r="J385" s="4125"/>
      <c r="K385" s="4125"/>
      <c r="L385" s="4125"/>
      <c r="M385" s="241" t="s">
        <v>2510</v>
      </c>
      <c r="N385" s="332"/>
      <c r="O385" s="4531" t="e">
        <f>#REF!</f>
        <v>#REF!</v>
      </c>
      <c r="P385" s="4532"/>
      <c r="Q385" s="147"/>
    </row>
    <row r="386" spans="1:19" s="331" customFormat="1" ht="12" customHeight="1">
      <c r="B386" s="4524"/>
      <c r="C386" s="4524"/>
      <c r="D386" s="4524"/>
      <c r="E386" s="4524"/>
      <c r="F386" s="4524"/>
      <c r="G386" s="4524"/>
      <c r="H386" s="4524"/>
      <c r="I386" s="4524"/>
      <c r="J386" s="4524"/>
      <c r="K386" s="4524"/>
      <c r="L386" s="4524"/>
      <c r="M386" s="1135" t="s">
        <v>2511</v>
      </c>
      <c r="N386" s="332"/>
      <c r="O386" s="4525" t="e">
        <f>IF(O385=0,0,O384/O385)</f>
        <v>#REF!</v>
      </c>
      <c r="P386" s="4526"/>
      <c r="Q386" s="147"/>
    </row>
    <row r="387" spans="1:19" s="36" customFormat="1" ht="105.75" customHeight="1">
      <c r="A387" s="410"/>
      <c r="B387" s="4154" t="s">
        <v>3325</v>
      </c>
      <c r="C387" s="4155"/>
      <c r="D387" s="4155"/>
      <c r="E387" s="4155"/>
      <c r="F387" s="4155"/>
      <c r="G387" s="4155"/>
      <c r="H387" s="4155"/>
      <c r="I387" s="4155"/>
      <c r="J387" s="4155"/>
      <c r="K387" s="4155"/>
      <c r="L387" s="4155"/>
      <c r="M387" s="4155"/>
      <c r="N387" s="4155"/>
      <c r="O387" s="4155"/>
      <c r="P387" s="41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3829</v>
      </c>
      <c r="C389" s="108"/>
      <c r="H389" s="108"/>
      <c r="M389" s="332">
        <v>2</v>
      </c>
      <c r="N389" s="128" t="s">
        <v>1838</v>
      </c>
      <c r="O389" s="458"/>
      <c r="P389" s="1019"/>
      <c r="Q389" s="785" t="str">
        <f>IF(OR($O389=$M389,$O389=0,$O389=""),"","*CHECK!*")</f>
        <v/>
      </c>
      <c r="R389" s="782" t="s">
        <v>3926</v>
      </c>
    </row>
    <row r="390" spans="1:19" s="331" customFormat="1" ht="11.25" customHeight="1">
      <c r="A390" s="411"/>
      <c r="B390" s="108" t="s">
        <v>4497</v>
      </c>
      <c r="C390" s="108"/>
      <c r="D390" s="108"/>
      <c r="E390" s="108"/>
      <c r="F390" s="108"/>
      <c r="G390" s="108"/>
      <c r="H390" s="108"/>
      <c r="I390" s="108"/>
      <c r="J390" s="108"/>
      <c r="K390" s="108"/>
      <c r="L390" s="108"/>
      <c r="Q390" s="147"/>
    </row>
    <row r="391" spans="1:19" s="331" customFormat="1" ht="11.25" customHeight="1">
      <c r="A391" s="411"/>
      <c r="E391" s="1752"/>
      <c r="G391" s="1182" t="s">
        <v>3702</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342"/>
      <c r="B393" s="4343"/>
      <c r="C393" s="4343"/>
      <c r="D393" s="4343"/>
      <c r="E393" s="4343"/>
      <c r="F393" s="4343"/>
      <c r="G393" s="4343"/>
      <c r="H393" s="4343"/>
      <c r="I393" s="4343"/>
      <c r="J393" s="4343"/>
      <c r="K393" s="4343"/>
      <c r="L393" s="4343"/>
      <c r="M393" s="4343"/>
      <c r="N393" s="4343"/>
      <c r="O393" s="4343"/>
      <c r="P393" s="434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2"/>
      <c r="B395" s="4143"/>
      <c r="C395" s="4143"/>
      <c r="D395" s="4143"/>
      <c r="E395" s="4143"/>
      <c r="F395" s="4143"/>
      <c r="G395" s="4143"/>
      <c r="H395" s="4143"/>
      <c r="I395" s="4143"/>
      <c r="J395" s="4143"/>
      <c r="K395" s="4143"/>
      <c r="L395" s="4143"/>
      <c r="M395" s="4143"/>
      <c r="N395" s="4143"/>
      <c r="O395" s="4143"/>
      <c r="P395" s="414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3905</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2"/>
      <c r="B403" s="4143"/>
      <c r="C403" s="4143"/>
      <c r="D403" s="4143"/>
      <c r="E403" s="4143"/>
      <c r="F403" s="4143"/>
      <c r="G403" s="4143"/>
      <c r="H403" s="4143"/>
      <c r="I403" s="4143"/>
      <c r="J403" s="4143"/>
      <c r="K403" s="4143"/>
      <c r="L403" s="4143"/>
      <c r="M403" s="4143"/>
      <c r="N403" s="4143"/>
      <c r="O403" s="4143"/>
      <c r="P403" s="414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4498</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4499</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4500</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4501</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4134</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4502</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342"/>
      <c r="B414" s="4343"/>
      <c r="C414" s="4343"/>
      <c r="D414" s="4343"/>
      <c r="E414" s="4343"/>
      <c r="F414" s="4343"/>
      <c r="G414" s="4343"/>
      <c r="H414" s="4343"/>
      <c r="I414" s="4343"/>
      <c r="J414" s="4343"/>
      <c r="K414" s="4343"/>
      <c r="L414" s="4343"/>
      <c r="M414" s="4343"/>
      <c r="N414" s="4343"/>
      <c r="O414" s="4343"/>
      <c r="P414" s="434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2"/>
      <c r="B416" s="4143"/>
      <c r="C416" s="4143"/>
      <c r="D416" s="4143"/>
      <c r="E416" s="4143"/>
      <c r="F416" s="4143"/>
      <c r="G416" s="4143"/>
      <c r="H416" s="4143"/>
      <c r="I416" s="4143"/>
      <c r="J416" s="4143"/>
      <c r="K416" s="4143"/>
      <c r="L416" s="4143"/>
      <c r="M416" s="4143"/>
      <c r="N416" s="4143"/>
      <c r="O416" s="4143"/>
      <c r="P416" s="414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4135</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342"/>
      <c r="B420" s="4343"/>
      <c r="C420" s="4343"/>
      <c r="D420" s="4343"/>
      <c r="E420" s="4343"/>
      <c r="F420" s="4343"/>
      <c r="G420" s="4343"/>
      <c r="H420" s="4343"/>
      <c r="I420" s="4343"/>
      <c r="J420" s="4343"/>
      <c r="K420" s="4343"/>
      <c r="L420" s="4343"/>
      <c r="M420" s="4343"/>
      <c r="N420" s="4343"/>
      <c r="O420" s="4343"/>
      <c r="P420" s="434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2"/>
      <c r="B422" s="4143"/>
      <c r="C422" s="4143"/>
      <c r="D422" s="4143"/>
      <c r="E422" s="4143"/>
      <c r="F422" s="4143"/>
      <c r="G422" s="4143"/>
      <c r="H422" s="4143"/>
      <c r="I422" s="4143"/>
      <c r="J422" s="4143"/>
      <c r="K422" s="4143"/>
      <c r="L422" s="4143"/>
      <c r="M422" s="4143"/>
      <c r="N422" s="4143"/>
      <c r="O422" s="4143"/>
      <c r="P422" s="414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4503</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2"/>
      <c r="B426" s="4143"/>
      <c r="C426" s="4143"/>
      <c r="D426" s="4143"/>
      <c r="E426" s="4143"/>
      <c r="F426" s="4143"/>
      <c r="G426" s="4143"/>
      <c r="H426" s="4143"/>
      <c r="I426" s="4143"/>
      <c r="J426" s="4143"/>
      <c r="K426" s="4143"/>
      <c r="L426" s="4143"/>
      <c r="M426" s="4143"/>
      <c r="N426" s="4143"/>
      <c r="O426" s="4143"/>
      <c r="P426" s="414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3677</v>
      </c>
      <c r="B428" s="83" t="s">
        <v>4504</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342"/>
      <c r="B430" s="4343"/>
      <c r="C430" s="4343"/>
      <c r="D430" s="4343"/>
      <c r="E430" s="4343"/>
      <c r="F430" s="4343"/>
      <c r="G430" s="4343"/>
      <c r="H430" s="4343"/>
      <c r="I430" s="4343"/>
      <c r="J430" s="4343"/>
      <c r="K430" s="4343"/>
      <c r="L430" s="4343"/>
      <c r="M430" s="4343"/>
      <c r="N430" s="4343"/>
      <c r="O430" s="4343"/>
      <c r="P430" s="434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2"/>
      <c r="B432" s="4143"/>
      <c r="C432" s="4143"/>
      <c r="D432" s="4143"/>
      <c r="E432" s="4143"/>
      <c r="F432" s="4143"/>
      <c r="G432" s="4143"/>
      <c r="H432" s="4143"/>
      <c r="I432" s="4143"/>
      <c r="J432" s="4143"/>
      <c r="K432" s="4143"/>
      <c r="L432" s="4143"/>
      <c r="M432" s="4143"/>
      <c r="N432" s="4143"/>
      <c r="O432" s="4143"/>
      <c r="P432" s="414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4449</v>
      </c>
      <c r="B434" s="83" t="s">
        <v>4505</v>
      </c>
      <c r="D434" s="38"/>
      <c r="G434" s="46" t="s">
        <v>3984</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4032</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4033</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342"/>
      <c r="B438" s="4343"/>
      <c r="C438" s="4343"/>
      <c r="D438" s="4343"/>
      <c r="E438" s="4343"/>
      <c r="F438" s="4343"/>
      <c r="G438" s="4343"/>
      <c r="H438" s="4343"/>
      <c r="I438" s="4343"/>
      <c r="J438" s="4343"/>
      <c r="K438" s="4343"/>
      <c r="L438" s="4343"/>
      <c r="M438" s="4343"/>
      <c r="N438" s="4343"/>
      <c r="O438" s="4343"/>
      <c r="P438" s="434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2"/>
      <c r="B440" s="4143"/>
      <c r="C440" s="4143"/>
      <c r="D440" s="4143"/>
      <c r="E440" s="4143"/>
      <c r="F440" s="4143"/>
      <c r="G440" s="4143"/>
      <c r="H440" s="4143"/>
      <c r="I440" s="4143"/>
      <c r="J440" s="4143"/>
      <c r="K440" s="4143"/>
      <c r="L440" s="4143"/>
      <c r="M440" s="4143"/>
      <c r="N440" s="4143"/>
      <c r="O440" s="4143"/>
      <c r="P440" s="4144"/>
      <c r="Q440" s="354"/>
      <c r="R440" s="354"/>
    </row>
    <row r="441" spans="1:27" ht="13.5" customHeight="1" thickBot="1">
      <c r="Q441" s="4626" t="s">
        <v>4635</v>
      </c>
      <c r="R441" s="4626"/>
      <c r="S441" s="4626"/>
      <c r="T441" s="4626"/>
      <c r="U441" s="4626"/>
      <c r="V441" s="4626"/>
      <c r="W441" s="4626"/>
      <c r="X441" s="4626"/>
      <c r="Y441" s="4626"/>
      <c r="Z441" s="4626"/>
      <c r="AA441" s="462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6"/>
      <c r="R442" s="4626"/>
      <c r="S442" s="4626"/>
      <c r="T442" s="4626"/>
      <c r="U442" s="4626"/>
      <c r="V442" s="4626"/>
      <c r="W442" s="4626"/>
      <c r="X442" s="4626"/>
      <c r="Y442" s="4626"/>
      <c r="Z442" s="4626"/>
      <c r="AA442" s="4626"/>
    </row>
    <row r="443" spans="1:27" s="36" customFormat="1" ht="15.75" thickTop="1">
      <c r="A443" s="35"/>
      <c r="C443" s="874"/>
      <c r="D443" s="874"/>
      <c r="E443" s="874"/>
      <c r="F443" s="874"/>
      <c r="G443" s="874"/>
      <c r="H443" s="874"/>
      <c r="I443" s="874"/>
      <c r="J443" s="874"/>
      <c r="K443" s="874"/>
      <c r="L443" s="874"/>
      <c r="M443" s="874"/>
      <c r="N443" s="874"/>
      <c r="O443" s="874"/>
      <c r="P443" s="874"/>
      <c r="Q443" s="4626"/>
      <c r="R443" s="4626"/>
      <c r="S443" s="4626"/>
      <c r="T443" s="4626"/>
      <c r="U443" s="4626"/>
      <c r="V443" s="4626"/>
      <c r="W443" s="4626"/>
      <c r="X443" s="4626"/>
      <c r="Y443" s="4626"/>
      <c r="Z443" s="4626"/>
      <c r="AA443" s="4626"/>
    </row>
    <row r="444" spans="1:27" s="115" customFormat="1" ht="6.75" customHeight="1">
      <c r="A444" s="36"/>
      <c r="B444" s="50"/>
      <c r="C444" s="36"/>
      <c r="F444" s="33"/>
      <c r="G444" s="33"/>
      <c r="H444" s="51"/>
      <c r="I444" s="51"/>
      <c r="L444" s="36"/>
      <c r="N444" s="119"/>
      <c r="O444" s="119"/>
      <c r="P444" s="3"/>
      <c r="Q444" s="4626"/>
      <c r="R444" s="4626"/>
      <c r="S444" s="4626"/>
      <c r="T444" s="4626"/>
      <c r="U444" s="4626"/>
      <c r="V444" s="4626"/>
      <c r="W444" s="4626"/>
      <c r="X444" s="4626"/>
      <c r="Y444" s="4626"/>
      <c r="Z444" s="4626"/>
      <c r="AA444" s="4626"/>
    </row>
    <row r="445" spans="1:27" s="36" customFormat="1" ht="22.5" customHeight="1">
      <c r="A445" s="4431" t="s">
        <v>4590</v>
      </c>
      <c r="B445" s="4431"/>
      <c r="C445" s="4431"/>
      <c r="D445" s="4431"/>
      <c r="E445" s="4431"/>
      <c r="F445" s="4431"/>
      <c r="G445" s="4431"/>
      <c r="H445" s="4431"/>
      <c r="I445" s="4431"/>
      <c r="J445" s="4431"/>
      <c r="K445" s="4431"/>
      <c r="L445" s="4431"/>
      <c r="M445" s="4431"/>
      <c r="N445" s="4431"/>
      <c r="O445" s="4431"/>
      <c r="P445" s="4431"/>
      <c r="Q445" s="4626"/>
      <c r="R445" s="4626"/>
      <c r="S445" s="4626"/>
      <c r="T445" s="4626"/>
      <c r="U445" s="4626"/>
      <c r="V445" s="4626"/>
      <c r="W445" s="4626"/>
      <c r="X445" s="4626"/>
      <c r="Y445" s="4626"/>
      <c r="Z445" s="4626"/>
      <c r="AA445" s="4626"/>
    </row>
    <row r="446" spans="1:27" s="36" customFormat="1" ht="409.15" customHeight="1">
      <c r="A446" s="4117"/>
      <c r="B446" s="4118"/>
      <c r="C446" s="4118"/>
      <c r="D446" s="4118"/>
      <c r="E446" s="4118"/>
      <c r="F446" s="4118"/>
      <c r="G446" s="4118"/>
      <c r="H446" s="4118"/>
      <c r="I446" s="4118"/>
      <c r="J446" s="4118"/>
      <c r="K446" s="4118"/>
      <c r="L446" s="4118"/>
      <c r="M446" s="4118"/>
      <c r="N446" s="4118"/>
      <c r="O446" s="4118"/>
      <c r="P446" s="4119"/>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8" t="s">
        <v>1405</v>
      </c>
      <c r="H466" s="4428"/>
      <c r="I466" s="4428"/>
      <c r="J466" s="68" t="s">
        <v>2941</v>
      </c>
      <c r="K466" s="68"/>
      <c r="L466" s="68"/>
      <c r="M466" s="68"/>
      <c r="N466" s="869"/>
      <c r="O466" s="2038">
        <v>2</v>
      </c>
      <c r="P466" s="2038"/>
      <c r="Q466" s="68"/>
    </row>
    <row r="467" spans="1:17" s="115" customFormat="1">
      <c r="C467" s="68"/>
      <c r="D467" s="68"/>
      <c r="E467" s="68"/>
      <c r="F467" s="68"/>
      <c r="G467" s="1758" t="s">
        <v>3931</v>
      </c>
      <c r="H467" s="68" t="s">
        <v>3932</v>
      </c>
      <c r="I467" s="1758" t="s">
        <v>3930</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3934</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3933</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3933</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3933</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3933</v>
      </c>
      <c r="J475" s="68" t="s">
        <v>2947</v>
      </c>
      <c r="K475" s="68"/>
      <c r="L475" s="502"/>
      <c r="M475" s="68"/>
      <c r="N475" s="869"/>
      <c r="O475" s="2038">
        <v>1</v>
      </c>
      <c r="P475" s="2038"/>
      <c r="Q475" s="68"/>
    </row>
    <row r="476" spans="1:17" s="115" customFormat="1">
      <c r="C476" s="502"/>
      <c r="D476" s="68"/>
      <c r="E476" s="68"/>
      <c r="F476" s="68"/>
      <c r="G476" s="1423" t="s">
        <v>1904</v>
      </c>
      <c r="H476" s="869" t="s">
        <v>3934</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3934</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3933</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3934</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3933</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3933</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3933</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3933</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3933</v>
      </c>
      <c r="J484" s="68" t="s">
        <v>3247</v>
      </c>
      <c r="K484" s="68"/>
      <c r="L484" s="502"/>
      <c r="M484" s="68"/>
      <c r="N484" s="869"/>
      <c r="O484" s="2038"/>
      <c r="P484" s="2038"/>
      <c r="Q484" s="68"/>
    </row>
    <row r="485" spans="1:17" s="115" customFormat="1">
      <c r="C485" s="502"/>
      <c r="D485" s="68"/>
      <c r="E485" s="68"/>
      <c r="F485" s="68"/>
      <c r="G485" s="1423" t="s">
        <v>920</v>
      </c>
      <c r="H485" s="869">
        <v>2020</v>
      </c>
      <c r="I485" s="869" t="s">
        <v>3933</v>
      </c>
      <c r="J485" s="68" t="s">
        <v>3242</v>
      </c>
      <c r="K485" s="68"/>
      <c r="L485" s="502"/>
      <c r="M485" s="68"/>
      <c r="N485" s="869"/>
      <c r="O485" s="2038"/>
      <c r="P485" s="2038"/>
      <c r="Q485" s="68"/>
    </row>
    <row r="486" spans="1:17" s="115" customFormat="1">
      <c r="C486" s="502"/>
      <c r="D486" s="68"/>
      <c r="E486" s="68"/>
      <c r="F486" s="68"/>
      <c r="G486" s="1423" t="s">
        <v>531</v>
      </c>
      <c r="H486" s="869">
        <v>2020</v>
      </c>
      <c r="I486" s="869" t="s">
        <v>3933</v>
      </c>
      <c r="J486" s="68" t="s">
        <v>3168</v>
      </c>
      <c r="K486" s="68"/>
      <c r="L486" s="502"/>
      <c r="M486" s="68"/>
      <c r="N486" s="869"/>
      <c r="O486" s="2038"/>
      <c r="P486" s="2038"/>
      <c r="Q486" s="68"/>
    </row>
    <row r="487" spans="1:17" s="115" customFormat="1">
      <c r="C487" s="502"/>
      <c r="D487" s="68"/>
      <c r="E487" s="68"/>
      <c r="F487" s="68"/>
      <c r="G487" s="1423" t="s">
        <v>808</v>
      </c>
      <c r="H487" s="869" t="s">
        <v>3934</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3933</v>
      </c>
      <c r="J488" s="68" t="s">
        <v>3169</v>
      </c>
      <c r="K488" s="68"/>
      <c r="L488" s="502"/>
      <c r="M488" s="68"/>
      <c r="N488" s="869"/>
      <c r="O488" s="2038"/>
      <c r="P488" s="2038"/>
      <c r="Q488" s="68"/>
    </row>
    <row r="489" spans="1:17" s="115" customFormat="1">
      <c r="C489" s="68"/>
      <c r="D489" s="68"/>
      <c r="E489" s="68"/>
      <c r="F489" s="68"/>
      <c r="G489" s="1423" t="s">
        <v>763</v>
      </c>
      <c r="H489" s="869">
        <v>2019</v>
      </c>
      <c r="I489" s="869" t="s">
        <v>3933</v>
      </c>
      <c r="J489" s="68" t="s">
        <v>3239</v>
      </c>
      <c r="K489" s="68"/>
      <c r="L489" s="502"/>
      <c r="M489" s="68"/>
      <c r="N489" s="869"/>
      <c r="O489" s="2038"/>
      <c r="P489" s="2038"/>
      <c r="Q489" s="68"/>
    </row>
    <row r="490" spans="1:17" s="115" customFormat="1">
      <c r="C490" s="68"/>
      <c r="D490" s="68"/>
      <c r="E490" s="68"/>
      <c r="F490" s="68"/>
      <c r="G490" s="1423" t="s">
        <v>172</v>
      </c>
      <c r="H490" s="869">
        <v>2019</v>
      </c>
      <c r="I490" s="869" t="s">
        <v>3933</v>
      </c>
      <c r="J490" s="68" t="s">
        <v>3170</v>
      </c>
      <c r="K490" s="68"/>
      <c r="L490" s="68"/>
      <c r="M490" s="68"/>
      <c r="N490" s="869"/>
      <c r="O490" s="2038"/>
      <c r="P490" s="2038"/>
      <c r="Q490" s="68"/>
    </row>
    <row r="491" spans="1:17" s="115" customFormat="1">
      <c r="C491" s="68"/>
      <c r="D491" s="68"/>
      <c r="E491" s="68"/>
      <c r="F491" s="68"/>
      <c r="G491" s="1423" t="s">
        <v>3256</v>
      </c>
      <c r="H491" s="869" t="s">
        <v>3934</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3933</v>
      </c>
      <c r="J492" s="68" t="s">
        <v>3243</v>
      </c>
      <c r="K492" s="68"/>
      <c r="L492" s="502"/>
      <c r="M492" s="68"/>
      <c r="N492" s="869"/>
      <c r="O492" s="2038"/>
      <c r="P492" s="2038"/>
      <c r="Q492" s="68"/>
    </row>
    <row r="493" spans="1:17" s="115" customFormat="1">
      <c r="C493" s="68"/>
      <c r="D493" s="68"/>
      <c r="E493" s="68"/>
      <c r="F493" s="68"/>
      <c r="G493" s="1423" t="s">
        <v>375</v>
      </c>
      <c r="H493" s="869">
        <v>2020</v>
      </c>
      <c r="I493" s="869" t="s">
        <v>3933</v>
      </c>
      <c r="J493" s="68" t="s">
        <v>3246</v>
      </c>
      <c r="K493" s="68"/>
      <c r="L493" s="68"/>
      <c r="M493" s="68"/>
      <c r="N493" s="869"/>
      <c r="O493" s="2038"/>
      <c r="P493" s="2038"/>
      <c r="Q493" s="68"/>
    </row>
    <row r="494" spans="1:17" s="115" customFormat="1">
      <c r="C494" s="68"/>
      <c r="D494" s="685"/>
      <c r="E494" s="68"/>
      <c r="F494" s="68"/>
      <c r="G494" s="1423" t="s">
        <v>1347</v>
      </c>
      <c r="H494" s="869" t="s">
        <v>3934</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3934</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3933</v>
      </c>
      <c r="J496" s="68" t="s">
        <v>3241</v>
      </c>
      <c r="K496" s="68"/>
      <c r="L496" s="502"/>
      <c r="M496" s="68"/>
      <c r="N496" s="869"/>
      <c r="O496" s="2038"/>
      <c r="P496" s="2038"/>
      <c r="Q496" s="68"/>
    </row>
    <row r="497" spans="3:17" s="115" customFormat="1">
      <c r="C497" s="68"/>
      <c r="D497" s="68"/>
      <c r="E497" s="68"/>
      <c r="F497" s="68"/>
      <c r="G497" s="1423" t="s">
        <v>1350</v>
      </c>
      <c r="H497" s="869">
        <v>2019</v>
      </c>
      <c r="I497" s="869" t="s">
        <v>3933</v>
      </c>
      <c r="J497" s="68" t="s">
        <v>3244</v>
      </c>
      <c r="K497" s="68"/>
      <c r="L497" s="68"/>
      <c r="M497" s="68"/>
      <c r="N497" s="869"/>
      <c r="O497" s="2038"/>
      <c r="P497" s="2038"/>
      <c r="Q497" s="68"/>
    </row>
    <row r="498" spans="3:17" s="115" customFormat="1">
      <c r="C498" s="68"/>
      <c r="D498" s="68"/>
      <c r="E498" s="68"/>
      <c r="F498" s="68"/>
      <c r="G498" s="1423" t="s">
        <v>235</v>
      </c>
      <c r="H498" s="869">
        <v>2019</v>
      </c>
      <c r="I498" s="869" t="s">
        <v>3933</v>
      </c>
      <c r="J498" s="68" t="s">
        <v>3245</v>
      </c>
      <c r="K498" s="68"/>
      <c r="L498" s="502"/>
      <c r="M498" s="68"/>
      <c r="N498" s="869"/>
      <c r="O498" s="2038"/>
      <c r="P498" s="2038"/>
      <c r="Q498" s="68"/>
    </row>
    <row r="499" spans="3:17" s="115" customFormat="1">
      <c r="C499" s="68"/>
      <c r="D499" s="68"/>
      <c r="E499" s="68"/>
      <c r="F499" s="68"/>
      <c r="G499" s="1423" t="s">
        <v>977</v>
      </c>
      <c r="H499" s="869">
        <v>2020</v>
      </c>
      <c r="I499" s="869" t="s">
        <v>3933</v>
      </c>
      <c r="J499" s="68" t="s">
        <v>3173</v>
      </c>
      <c r="K499" s="68"/>
      <c r="L499" s="502"/>
      <c r="M499" s="68"/>
      <c r="N499" s="869"/>
      <c r="O499" s="2038"/>
      <c r="P499" s="2038"/>
      <c r="Q499" s="68"/>
    </row>
    <row r="500" spans="3:17" s="115" customFormat="1">
      <c r="C500" s="685"/>
      <c r="D500" s="68"/>
      <c r="E500" s="68"/>
      <c r="F500" s="68"/>
      <c r="G500" s="1423" t="s">
        <v>2091</v>
      </c>
      <c r="H500" s="869">
        <v>2020</v>
      </c>
      <c r="I500" s="869" t="s">
        <v>3933</v>
      </c>
      <c r="J500" s="68" t="s">
        <v>3174</v>
      </c>
      <c r="K500" s="68"/>
      <c r="L500" s="502"/>
      <c r="M500" s="68"/>
      <c r="N500" s="869"/>
      <c r="O500" s="2038"/>
      <c r="P500" s="2038"/>
      <c r="Q500" s="68"/>
    </row>
    <row r="501" spans="3:17" s="115" customFormat="1">
      <c r="C501" s="685"/>
      <c r="D501" s="68"/>
      <c r="E501" s="68"/>
      <c r="F501" s="68"/>
      <c r="G501" s="1423" t="s">
        <v>3928</v>
      </c>
      <c r="H501" s="869" t="s">
        <v>3934</v>
      </c>
      <c r="I501" s="1758" t="s">
        <v>2446</v>
      </c>
      <c r="J501" s="68"/>
      <c r="K501" s="68"/>
      <c r="L501" s="502"/>
      <c r="M501" s="68"/>
      <c r="N501" s="869"/>
      <c r="O501" s="2038"/>
      <c r="P501" s="2038"/>
      <c r="Q501" s="68"/>
    </row>
    <row r="502" spans="3:17" s="115" customFormat="1">
      <c r="C502" s="685"/>
      <c r="D502" s="68"/>
      <c r="E502" s="68"/>
      <c r="F502" s="68"/>
      <c r="G502" s="1423" t="s">
        <v>1744</v>
      </c>
      <c r="H502" s="869" t="s">
        <v>3934</v>
      </c>
      <c r="I502" s="1758" t="s">
        <v>2446</v>
      </c>
      <c r="J502" s="68"/>
      <c r="K502" s="68"/>
      <c r="L502" s="502"/>
      <c r="M502" s="68"/>
      <c r="N502" s="869"/>
      <c r="O502" s="2038"/>
      <c r="P502" s="2038"/>
      <c r="Q502" s="68"/>
    </row>
    <row r="503" spans="3:17" s="115" customFormat="1">
      <c r="C503" s="685"/>
      <c r="D503" s="68"/>
      <c r="E503" s="68"/>
      <c r="F503" s="68"/>
      <c r="G503" s="1423" t="s">
        <v>471</v>
      </c>
      <c r="H503" s="869" t="s">
        <v>3934</v>
      </c>
      <c r="I503" s="1758" t="s">
        <v>2446</v>
      </c>
      <c r="J503" s="68"/>
      <c r="K503" s="68"/>
      <c r="L503" s="502"/>
      <c r="M503" s="68"/>
      <c r="N503" s="869"/>
      <c r="O503" s="2038"/>
      <c r="P503" s="2038"/>
      <c r="Q503" s="68"/>
    </row>
    <row r="504" spans="3:17" s="115" customFormat="1">
      <c r="C504" s="685"/>
      <c r="D504" s="68"/>
      <c r="E504" s="68"/>
      <c r="F504" s="68"/>
      <c r="G504" s="1423" t="s">
        <v>1946</v>
      </c>
      <c r="H504" s="869" t="s">
        <v>3934</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3933</v>
      </c>
      <c r="J505" s="68"/>
      <c r="K505" s="68"/>
      <c r="L505" s="502"/>
      <c r="M505" s="68"/>
      <c r="N505" s="869"/>
      <c r="O505" s="2038"/>
      <c r="P505" s="2038"/>
      <c r="Q505" s="68"/>
    </row>
    <row r="506" spans="3:17" s="115" customFormat="1">
      <c r="C506" s="685"/>
      <c r="D506" s="68"/>
      <c r="E506" s="68"/>
      <c r="F506" s="68"/>
      <c r="G506" s="1423" t="s">
        <v>1969</v>
      </c>
      <c r="H506" s="869">
        <v>2020</v>
      </c>
      <c r="I506" s="869" t="s">
        <v>3933</v>
      </c>
      <c r="J506" s="68"/>
      <c r="K506" s="68"/>
      <c r="L506" s="68"/>
      <c r="M506" s="68"/>
      <c r="N506" s="869"/>
      <c r="O506" s="2038"/>
      <c r="P506" s="2038"/>
      <c r="Q506" s="68"/>
    </row>
    <row r="507" spans="3:17" s="115" customFormat="1">
      <c r="C507" s="68"/>
      <c r="D507" s="68"/>
      <c r="E507" s="68"/>
      <c r="F507" s="68"/>
      <c r="G507" s="1423" t="s">
        <v>2148</v>
      </c>
      <c r="H507" s="869">
        <v>2019</v>
      </c>
      <c r="I507" s="869" t="s">
        <v>3933</v>
      </c>
      <c r="J507" s="68"/>
      <c r="K507" s="68"/>
      <c r="L507" s="68"/>
      <c r="M507" s="68"/>
      <c r="N507" s="869"/>
      <c r="O507" s="2038"/>
      <c r="P507" s="2038"/>
      <c r="Q507" s="68"/>
    </row>
    <row r="508" spans="3:17" s="115" customFormat="1">
      <c r="C508" s="68"/>
      <c r="D508" s="68"/>
      <c r="E508" s="68"/>
      <c r="F508" s="68"/>
      <c r="G508" s="1423" t="s">
        <v>3929</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3933</v>
      </c>
      <c r="J509" s="68"/>
      <c r="K509" s="68"/>
      <c r="L509" s="68"/>
      <c r="M509" s="68"/>
      <c r="N509" s="869"/>
      <c r="O509" s="2038"/>
      <c r="P509" s="2038"/>
      <c r="Q509" s="68"/>
    </row>
    <row r="510" spans="3:17" s="115" customFormat="1">
      <c r="C510" s="68"/>
      <c r="D510" s="68"/>
      <c r="E510" s="68"/>
      <c r="F510" s="68"/>
      <c r="G510" s="1423" t="s">
        <v>1575</v>
      </c>
      <c r="H510" s="869">
        <v>2020</v>
      </c>
      <c r="I510" s="869" t="s">
        <v>3933</v>
      </c>
      <c r="J510" s="68"/>
      <c r="K510" s="68"/>
      <c r="L510" s="68"/>
      <c r="M510" s="68"/>
      <c r="N510" s="869"/>
      <c r="O510" s="2038"/>
      <c r="P510" s="2038"/>
      <c r="Q510" s="68"/>
    </row>
    <row r="511" spans="3:17" s="115" customFormat="1">
      <c r="C511" s="68"/>
      <c r="D511" s="68"/>
      <c r="E511" s="68"/>
      <c r="F511" s="68"/>
      <c r="G511" s="1423" t="s">
        <v>1580</v>
      </c>
      <c r="H511" s="869">
        <v>2020</v>
      </c>
      <c r="I511" s="869" t="s">
        <v>3933</v>
      </c>
      <c r="J511" s="68"/>
      <c r="K511" s="68"/>
      <c r="L511" s="68"/>
      <c r="M511" s="68"/>
      <c r="N511" s="869"/>
      <c r="O511" s="2038"/>
      <c r="P511" s="2038"/>
      <c r="Q511" s="68"/>
    </row>
    <row r="512" spans="3:17" s="115" customFormat="1">
      <c r="C512" s="68"/>
      <c r="D512" s="68"/>
      <c r="E512" s="68"/>
      <c r="F512" s="68"/>
      <c r="G512" s="1423" t="s">
        <v>1588</v>
      </c>
      <c r="H512" s="869">
        <v>2020</v>
      </c>
      <c r="I512" s="869" t="s">
        <v>3933</v>
      </c>
      <c r="J512" s="68"/>
      <c r="K512" s="68"/>
      <c r="L512" s="68"/>
      <c r="M512" s="68"/>
      <c r="N512" s="869"/>
      <c r="O512" s="2038"/>
      <c r="P512" s="2038"/>
      <c r="Q512" s="68"/>
    </row>
    <row r="513" spans="3:17" s="115" customFormat="1">
      <c r="C513" s="68"/>
      <c r="D513" s="68"/>
      <c r="E513" s="68"/>
      <c r="F513" s="68"/>
      <c r="G513" s="1423" t="s">
        <v>1589</v>
      </c>
      <c r="H513" s="869">
        <v>2019</v>
      </c>
      <c r="I513" s="869" t="s">
        <v>3933</v>
      </c>
      <c r="J513" s="68"/>
      <c r="K513" s="68"/>
      <c r="L513" s="68"/>
      <c r="M513" s="68"/>
      <c r="N513" s="869"/>
      <c r="O513" s="2038"/>
      <c r="P513" s="2038"/>
      <c r="Q513" s="68"/>
    </row>
    <row r="514" spans="3:17" s="115" customFormat="1">
      <c r="C514" s="68"/>
      <c r="D514" s="68"/>
      <c r="E514" s="68"/>
      <c r="F514" s="68"/>
      <c r="G514" s="1423" t="s">
        <v>100</v>
      </c>
      <c r="H514" s="869">
        <v>2020</v>
      </c>
      <c r="I514" s="869" t="s">
        <v>3933</v>
      </c>
      <c r="J514" s="68"/>
      <c r="K514" s="68"/>
      <c r="L514" s="68"/>
      <c r="M514" s="68"/>
      <c r="N514" s="869"/>
      <c r="O514" s="2038"/>
      <c r="P514" s="2038"/>
      <c r="Q514" s="68"/>
    </row>
    <row r="515" spans="3:17" s="115" customFormat="1">
      <c r="C515" s="68"/>
      <c r="D515" s="68"/>
      <c r="E515" s="68"/>
      <c r="F515" s="68"/>
      <c r="G515" s="1423" t="s">
        <v>285</v>
      </c>
      <c r="H515" s="869">
        <v>2020</v>
      </c>
      <c r="I515" s="869" t="s">
        <v>3933</v>
      </c>
      <c r="J515" s="68"/>
      <c r="K515" s="68"/>
      <c r="L515" s="68"/>
      <c r="M515" s="68"/>
      <c r="N515" s="869"/>
      <c r="O515" s="2038"/>
      <c r="P515" s="2038"/>
      <c r="Q515" s="68"/>
    </row>
    <row r="516" spans="3:17" s="115" customFormat="1">
      <c r="C516" s="68"/>
      <c r="D516" s="68"/>
      <c r="E516" s="68"/>
      <c r="F516" s="68"/>
      <c r="G516" s="1423" t="s">
        <v>1440</v>
      </c>
      <c r="H516" s="869" t="s">
        <v>3934</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zoomScale="110" zoomScaleNormal="110" workbookViewId="0">
      <selection activeCell="Q234" sqref="Q23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4202</v>
      </c>
      <c r="C1" s="1616"/>
      <c r="D1" s="1616"/>
      <c r="E1" s="1616"/>
      <c r="F1" s="1616" t="s">
        <v>4203</v>
      </c>
      <c r="G1" s="1616" t="s">
        <v>4204</v>
      </c>
      <c r="H1" s="1616" t="s">
        <v>4205</v>
      </c>
      <c r="I1" s="1616" t="s">
        <v>4206</v>
      </c>
      <c r="J1" s="1616" t="s">
        <v>4207</v>
      </c>
      <c r="K1" s="1616" t="s">
        <v>4208</v>
      </c>
      <c r="L1" s="1616"/>
      <c r="M1" s="1616"/>
      <c r="N1" s="1616" t="s">
        <v>4209</v>
      </c>
      <c r="O1" s="1616" t="s">
        <v>4210</v>
      </c>
      <c r="P1" s="1616" t="s">
        <v>4211</v>
      </c>
      <c r="Z1" s="1618">
        <v>1</v>
      </c>
    </row>
    <row r="2" spans="1:28" s="144" customFormat="1" ht="14.1" customHeight="1">
      <c r="A2" s="2948" t="str">
        <f>CONCATENATE("Part I-Project Identification"," - ",$O$7," ",$F$26,", ",$F$27,", ",J27," County")</f>
        <v>Part I-Project Identification - 2024-0 Wesley Square, Norcross, Gwinnett County</v>
      </c>
      <c r="B2" s="2949"/>
      <c r="C2" s="2949"/>
      <c r="D2" s="2949"/>
      <c r="E2" s="2949"/>
      <c r="F2" s="2949"/>
      <c r="G2" s="2949"/>
      <c r="H2" s="2949"/>
      <c r="I2" s="2949"/>
      <c r="J2" s="2949"/>
      <c r="K2" s="2949"/>
      <c r="L2" s="2949"/>
      <c r="M2" s="2949"/>
      <c r="N2" s="2949"/>
      <c r="O2" s="2949"/>
      <c r="P2" s="295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51" t="s">
        <v>4636</v>
      </c>
      <c r="B4" s="2951"/>
      <c r="C4" s="2951"/>
      <c r="D4" s="2951"/>
      <c r="E4" s="2951"/>
      <c r="F4" s="2951"/>
      <c r="G4" s="2951"/>
      <c r="H4" s="2951"/>
      <c r="I4" s="2951"/>
      <c r="J4" s="2951"/>
      <c r="K4" s="2951"/>
      <c r="L4" s="2951"/>
      <c r="M4" s="2951"/>
      <c r="N4" s="2951"/>
      <c r="O4" s="2951"/>
      <c r="P4" s="295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2" t="s">
        <v>5223</v>
      </c>
      <c r="B6" s="2952"/>
      <c r="C6" s="2952"/>
      <c r="D6" s="2952"/>
      <c r="F6" s="242"/>
      <c r="G6" s="224" t="s">
        <v>3698</v>
      </c>
      <c r="L6" s="374"/>
      <c r="P6" s="1698" t="s">
        <v>3204</v>
      </c>
      <c r="Z6" s="1618">
        <v>6</v>
      </c>
      <c r="AA6" s="1729">
        <v>5</v>
      </c>
    </row>
    <row r="7" spans="1:28" s="144" customFormat="1" ht="12" customHeight="1" thickBot="1">
      <c r="A7" s="2952"/>
      <c r="B7" s="2952"/>
      <c r="C7" s="2952"/>
      <c r="D7" s="2952"/>
      <c r="E7" s="983"/>
      <c r="F7" s="244"/>
      <c r="G7" s="224" t="s">
        <v>3983</v>
      </c>
      <c r="H7" s="248"/>
      <c r="I7" s="248"/>
      <c r="J7" s="248"/>
      <c r="O7" s="2953" t="s">
        <v>4748</v>
      </c>
      <c r="P7" s="2954"/>
      <c r="Q7" s="2955" t="s">
        <v>4528</v>
      </c>
      <c r="R7" s="2955"/>
      <c r="S7" s="2956"/>
      <c r="Z7" s="1618">
        <v>7</v>
      </c>
      <c r="AA7" s="1729">
        <v>6</v>
      </c>
    </row>
    <row r="8" spans="1:28" s="144" customFormat="1" ht="12" customHeight="1">
      <c r="A8" s="2952"/>
      <c r="B8" s="2952"/>
      <c r="C8" s="2952"/>
      <c r="D8" s="2952"/>
      <c r="E8" s="983"/>
      <c r="F8" s="407"/>
      <c r="G8" s="147" t="s">
        <v>2892</v>
      </c>
      <c r="H8" s="248"/>
      <c r="I8" s="248"/>
      <c r="J8" s="248"/>
      <c r="Q8" s="2957"/>
      <c r="R8" s="2958"/>
      <c r="S8" s="2959"/>
      <c r="Z8" s="1618">
        <v>8</v>
      </c>
      <c r="AA8" s="1729">
        <v>7</v>
      </c>
    </row>
    <row r="9" spans="1:28" s="144" customFormat="1" ht="6" customHeight="1">
      <c r="A9" s="374"/>
      <c r="E9" s="248"/>
      <c r="H9" s="248"/>
      <c r="I9" s="248"/>
      <c r="M9" s="248"/>
      <c r="Q9" s="2957"/>
      <c r="R9" s="2958"/>
      <c r="S9" s="2959"/>
      <c r="Z9" s="1618">
        <v>9</v>
      </c>
      <c r="AA9" s="1729">
        <v>8</v>
      </c>
    </row>
    <row r="10" spans="1:28" s="144" customFormat="1" ht="13.35" customHeight="1">
      <c r="A10" s="243" t="s">
        <v>572</v>
      </c>
      <c r="B10" s="243" t="s">
        <v>2186</v>
      </c>
      <c r="D10" s="145"/>
      <c r="E10" s="245"/>
      <c r="F10" s="246" t="s">
        <v>3181</v>
      </c>
      <c r="I10" s="2963">
        <f ca="1">'Part III-A-Uses of Funds'!$J$191</f>
        <v>1300000</v>
      </c>
      <c r="J10" s="2964"/>
      <c r="L10" s="144" t="s">
        <v>3182</v>
      </c>
      <c r="O10" s="2965">
        <f>'Part II-Sources of Funds'!$I$6</f>
        <v>0</v>
      </c>
      <c r="P10" s="2966"/>
      <c r="Q10" s="2957"/>
      <c r="R10" s="2958"/>
      <c r="S10" s="2959"/>
      <c r="Z10" s="1618">
        <v>10</v>
      </c>
      <c r="AA10" s="1729">
        <v>9</v>
      </c>
    </row>
    <row r="11" spans="1:28" s="144" customFormat="1" ht="6" customHeight="1">
      <c r="A11" s="243"/>
      <c r="B11" s="243"/>
      <c r="D11" s="145"/>
      <c r="E11" s="245"/>
      <c r="F11" s="245"/>
      <c r="I11" s="222"/>
      <c r="N11" s="247"/>
      <c r="Q11" s="2957"/>
      <c r="R11" s="2958"/>
      <c r="S11" s="2959"/>
      <c r="Z11" s="1618">
        <v>11</v>
      </c>
      <c r="AA11" s="1729">
        <v>10</v>
      </c>
    </row>
    <row r="12" spans="1:28" s="144" customFormat="1" ht="13.5">
      <c r="A12" s="222" t="s">
        <v>688</v>
      </c>
      <c r="B12" s="243" t="s">
        <v>1886</v>
      </c>
      <c r="F12" s="2967" t="s">
        <v>5126</v>
      </c>
      <c r="G12" s="2968"/>
      <c r="H12" s="2969"/>
      <c r="I12" s="1699" t="s">
        <v>4411</v>
      </c>
      <c r="J12" s="1457" t="s">
        <v>4822</v>
      </c>
      <c r="K12" s="243"/>
      <c r="L12" s="248"/>
      <c r="O12" s="2970" t="s">
        <v>5197</v>
      </c>
      <c r="P12" s="2971"/>
      <c r="Q12" s="2957"/>
      <c r="R12" s="2958"/>
      <c r="S12" s="2959"/>
      <c r="Z12" s="1618">
        <v>12</v>
      </c>
      <c r="AA12" s="1729">
        <v>11</v>
      </c>
    </row>
    <row r="13" spans="1:28" s="1990" customFormat="1" ht="15">
      <c r="A13" s="1963"/>
      <c r="C13" s="1969"/>
      <c r="D13" s="1969"/>
      <c r="E13" s="1969"/>
      <c r="F13" s="2095" t="s">
        <v>4821</v>
      </c>
      <c r="H13" s="2093"/>
      <c r="I13" s="2093"/>
      <c r="J13" s="2093"/>
      <c r="K13" s="2093"/>
      <c r="L13" s="2093"/>
      <c r="M13" s="2093"/>
      <c r="N13" s="2093"/>
      <c r="O13" s="2094"/>
      <c r="P13" s="2089"/>
      <c r="Q13" s="2957"/>
      <c r="R13" s="2958"/>
      <c r="S13" s="295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7"/>
      <c r="R14" s="2958"/>
      <c r="S14" s="2959"/>
      <c r="Z14" s="1618">
        <v>14</v>
      </c>
      <c r="AA14" s="1729">
        <v>13</v>
      </c>
    </row>
    <row r="15" spans="1:28" s="144" customFormat="1">
      <c r="A15" s="222" t="s">
        <v>690</v>
      </c>
      <c r="B15" s="243" t="s">
        <v>3551</v>
      </c>
      <c r="D15" s="246"/>
      <c r="E15" s="245"/>
      <c r="G15" s="245"/>
      <c r="H15" s="245"/>
      <c r="I15" s="738" t="s">
        <v>3209</v>
      </c>
      <c r="L15" s="247"/>
      <c r="Q15" s="2957"/>
      <c r="R15" s="2958"/>
      <c r="S15" s="2959"/>
      <c r="Z15" s="1618">
        <v>15</v>
      </c>
      <c r="AA15" s="1729">
        <v>14</v>
      </c>
    </row>
    <row r="16" spans="1:28" s="144" customFormat="1">
      <c r="B16" s="144" t="s">
        <v>3210</v>
      </c>
      <c r="F16" s="2945" t="s">
        <v>5127</v>
      </c>
      <c r="G16" s="2946"/>
      <c r="H16" s="2947"/>
      <c r="I16" s="2044" t="s">
        <v>1665</v>
      </c>
      <c r="J16" s="2914" t="s">
        <v>5129</v>
      </c>
      <c r="K16" s="2916"/>
      <c r="L16" s="2941"/>
      <c r="M16" s="1808" t="s">
        <v>1834</v>
      </c>
      <c r="N16" s="2945" t="s">
        <v>5130</v>
      </c>
      <c r="O16" s="2946"/>
      <c r="P16" s="2947"/>
      <c r="Q16" s="2957"/>
      <c r="R16" s="2958"/>
      <c r="S16" s="2959"/>
      <c r="Z16" s="1618">
        <v>16</v>
      </c>
      <c r="AA16" s="1729">
        <v>15</v>
      </c>
    </row>
    <row r="17" spans="1:27" s="144" customFormat="1" ht="12.75" customHeight="1">
      <c r="B17" s="246" t="s">
        <v>1597</v>
      </c>
      <c r="F17" s="2910">
        <v>7708508280</v>
      </c>
      <c r="G17" s="2911"/>
      <c r="H17" s="2912"/>
      <c r="I17" s="2045" t="s">
        <v>1596</v>
      </c>
      <c r="J17" s="810"/>
      <c r="M17" s="246" t="s">
        <v>1598</v>
      </c>
      <c r="N17" s="2910">
        <v>6782093079</v>
      </c>
      <c r="O17" s="2911"/>
      <c r="P17" s="2912"/>
      <c r="Q17" s="2957"/>
      <c r="R17" s="2958"/>
      <c r="S17" s="2959"/>
      <c r="V17" s="738"/>
      <c r="W17" s="738"/>
      <c r="X17" s="738"/>
      <c r="Z17" s="1618">
        <v>17</v>
      </c>
      <c r="AA17" s="1729">
        <v>16</v>
      </c>
    </row>
    <row r="18" spans="1:27" s="144" customFormat="1">
      <c r="B18" s="246" t="s">
        <v>1837</v>
      </c>
      <c r="F18" s="2939" t="s">
        <v>5128</v>
      </c>
      <c r="G18" s="2940"/>
      <c r="H18" s="2940"/>
      <c r="I18" s="2916"/>
      <c r="J18" s="2940"/>
      <c r="K18" s="2916"/>
      <c r="L18" s="2941"/>
      <c r="M18" s="246" t="s">
        <v>1833</v>
      </c>
      <c r="N18" s="2942">
        <v>6782093079</v>
      </c>
      <c r="O18" s="2943"/>
      <c r="P18" s="2944"/>
      <c r="Q18" s="2957"/>
      <c r="R18" s="2958"/>
      <c r="S18" s="2959"/>
      <c r="U18" s="738"/>
      <c r="V18" s="738"/>
      <c r="W18" s="738"/>
      <c r="X18" s="738"/>
      <c r="Z18" s="1618">
        <v>18</v>
      </c>
      <c r="AA18" s="1729">
        <v>17</v>
      </c>
    </row>
    <row r="19" spans="1:27" s="144" customFormat="1">
      <c r="A19" s="374"/>
      <c r="B19" s="243" t="s">
        <v>3550</v>
      </c>
      <c r="C19" s="145"/>
      <c r="H19" s="248"/>
      <c r="J19" s="145"/>
      <c r="P19" s="248"/>
      <c r="Q19" s="2957"/>
      <c r="R19" s="2958"/>
      <c r="S19" s="2959"/>
      <c r="Z19" s="1618">
        <v>19</v>
      </c>
      <c r="AA19" s="1729">
        <v>18</v>
      </c>
    </row>
    <row r="20" spans="1:27" s="144" customFormat="1">
      <c r="B20" s="144" t="s">
        <v>3210</v>
      </c>
      <c r="F20" s="2945" t="s">
        <v>5127</v>
      </c>
      <c r="G20" s="2946"/>
      <c r="H20" s="2947"/>
      <c r="I20" s="2044" t="s">
        <v>1665</v>
      </c>
      <c r="J20" s="2914" t="s">
        <v>5132</v>
      </c>
      <c r="K20" s="2916"/>
      <c r="L20" s="2941"/>
      <c r="M20" s="1808" t="s">
        <v>1834</v>
      </c>
      <c r="N20" s="2945" t="s">
        <v>5133</v>
      </c>
      <c r="O20" s="2946"/>
      <c r="P20" s="2947"/>
      <c r="Q20" s="2957"/>
      <c r="R20" s="2958"/>
      <c r="S20" s="2959"/>
      <c r="Z20" s="1618">
        <v>20</v>
      </c>
      <c r="AA20" s="1729">
        <v>19</v>
      </c>
    </row>
    <row r="21" spans="1:27" s="144" customFormat="1">
      <c r="B21" s="246" t="s">
        <v>1597</v>
      </c>
      <c r="F21" s="2910">
        <v>7708508280</v>
      </c>
      <c r="G21" s="2911"/>
      <c r="H21" s="2912"/>
      <c r="I21" s="2045" t="s">
        <v>1596</v>
      </c>
      <c r="J21" s="810"/>
      <c r="M21" s="246" t="s">
        <v>1598</v>
      </c>
      <c r="N21" s="2910">
        <v>4043178953</v>
      </c>
      <c r="O21" s="2911"/>
      <c r="P21" s="2912"/>
      <c r="Q21" s="2957"/>
      <c r="R21" s="2958"/>
      <c r="S21" s="2959"/>
      <c r="U21" s="230"/>
      <c r="V21" s="230"/>
      <c r="W21" s="230"/>
      <c r="X21" s="230"/>
      <c r="Z21" s="1618">
        <v>21</v>
      </c>
      <c r="AA21" s="1729">
        <v>20</v>
      </c>
    </row>
    <row r="22" spans="1:27" s="144" customFormat="1">
      <c r="B22" s="246" t="s">
        <v>1837</v>
      </c>
      <c r="F22" s="2939" t="s">
        <v>5131</v>
      </c>
      <c r="G22" s="2940"/>
      <c r="H22" s="2940"/>
      <c r="I22" s="2916"/>
      <c r="J22" s="2940"/>
      <c r="K22" s="2916"/>
      <c r="L22" s="2941"/>
      <c r="M22" s="246" t="s">
        <v>1833</v>
      </c>
      <c r="N22" s="2942">
        <v>4043178953</v>
      </c>
      <c r="O22" s="2943"/>
      <c r="P22" s="2944"/>
      <c r="Q22" s="2957"/>
      <c r="R22" s="2958"/>
      <c r="S22" s="2959"/>
      <c r="Z22" s="1618">
        <v>22</v>
      </c>
      <c r="AA22" s="1729">
        <v>21</v>
      </c>
    </row>
    <row r="23" spans="1:27" s="144" customFormat="1">
      <c r="I23" s="145"/>
      <c r="J23" s="145"/>
      <c r="K23" s="145"/>
      <c r="L23" s="145"/>
      <c r="M23" s="145"/>
      <c r="N23" s="145"/>
      <c r="O23" s="145"/>
      <c r="P23" s="145"/>
      <c r="Q23" s="2957"/>
      <c r="R23" s="2958"/>
      <c r="S23" s="2959"/>
      <c r="Z23" s="1618">
        <v>23</v>
      </c>
      <c r="AA23" s="1729">
        <v>22</v>
      </c>
    </row>
    <row r="24" spans="1:27" s="144" customFormat="1">
      <c r="A24" s="222" t="s">
        <v>1661</v>
      </c>
      <c r="B24" s="243" t="s">
        <v>1379</v>
      </c>
      <c r="D24" s="145"/>
      <c r="E24" s="245"/>
      <c r="F24" s="245"/>
      <c r="G24" s="246"/>
      <c r="H24" s="245"/>
      <c r="I24" s="245"/>
      <c r="J24" s="245"/>
      <c r="Q24" s="2957"/>
      <c r="R24" s="2958"/>
      <c r="S24" s="2959"/>
      <c r="Z24" s="1618">
        <v>24</v>
      </c>
      <c r="AA24" s="1729">
        <v>23</v>
      </c>
    </row>
    <row r="25" spans="1:27" s="144" customFormat="1" ht="1.5" customHeight="1">
      <c r="A25" s="222"/>
      <c r="B25" s="243"/>
      <c r="D25" s="145"/>
      <c r="E25" s="245"/>
      <c r="F25" s="245"/>
      <c r="G25" s="246"/>
      <c r="H25" s="245"/>
      <c r="I25" s="245"/>
      <c r="J25" s="245"/>
      <c r="L25" s="247"/>
      <c r="M25" s="247"/>
      <c r="Q25" s="2957"/>
      <c r="R25" s="2958"/>
      <c r="S25" s="2959"/>
      <c r="Z25" s="1618">
        <v>25</v>
      </c>
      <c r="AA25" s="1729">
        <v>24</v>
      </c>
    </row>
    <row r="26" spans="1:27" s="144" customFormat="1" ht="13.35" customHeight="1">
      <c r="A26" s="243"/>
      <c r="B26" s="144" t="s">
        <v>573</v>
      </c>
      <c r="D26" s="243"/>
      <c r="F26" s="2914" t="s">
        <v>5134</v>
      </c>
      <c r="G26" s="2915"/>
      <c r="H26" s="2915"/>
      <c r="I26" s="2916"/>
      <c r="J26" s="2915"/>
      <c r="K26" s="2917"/>
      <c r="M26" s="246" t="s">
        <v>424</v>
      </c>
      <c r="P26" s="1809" t="s">
        <v>2641</v>
      </c>
      <c r="Q26" s="2957"/>
      <c r="R26" s="2958"/>
      <c r="S26" s="2959"/>
      <c r="Z26" s="1618">
        <v>26</v>
      </c>
      <c r="AA26" s="1729">
        <v>25</v>
      </c>
    </row>
    <row r="27" spans="1:27" s="144" customFormat="1">
      <c r="A27" s="374"/>
      <c r="B27" s="144" t="s">
        <v>574</v>
      </c>
      <c r="F27" s="2918" t="s">
        <v>1347</v>
      </c>
      <c r="G27" s="2919"/>
      <c r="H27" s="2920"/>
      <c r="I27" s="257" t="s">
        <v>575</v>
      </c>
      <c r="J27" s="2921" t="str">
        <f>IF(F27="","",VLOOKUP(F27,'DCA Underwriting Assumptions'!$T$166:$U$795,2,FALSE))</f>
        <v>Gwinnett</v>
      </c>
      <c r="K27" s="2922"/>
      <c r="M27" s="246" t="s">
        <v>425</v>
      </c>
      <c r="P27" s="1866" t="s">
        <v>2644</v>
      </c>
      <c r="Q27" s="2957"/>
      <c r="R27" s="2958"/>
      <c r="S27" s="2959"/>
      <c r="U27" s="374"/>
      <c r="Z27" s="1618">
        <v>27</v>
      </c>
      <c r="AA27" s="1729">
        <v>26</v>
      </c>
    </row>
    <row r="28" spans="1:27" s="144" customFormat="1" ht="13.5">
      <c r="A28" s="374"/>
      <c r="B28" s="144" t="s">
        <v>3780</v>
      </c>
      <c r="C28" s="251"/>
      <c r="D28" s="252"/>
      <c r="E28" s="252"/>
      <c r="F28" s="2918" t="s">
        <v>5135</v>
      </c>
      <c r="G28" s="2923"/>
      <c r="H28" s="2924"/>
      <c r="I28" s="248"/>
      <c r="J28" s="391" t="s">
        <v>4615</v>
      </c>
      <c r="K28" s="248"/>
      <c r="M28" s="246" t="s">
        <v>4558</v>
      </c>
      <c r="O28" s="2925">
        <v>6.44</v>
      </c>
      <c r="P28" s="2926"/>
      <c r="Q28" s="2957"/>
      <c r="R28" s="2958"/>
      <c r="S28" s="2959"/>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21" t="str">
        <f>IF($F$27="","",VLOOKUP($J$27,'DCA Underwriting Assumptions'!$G$166:$L$325,3,FALSE))</f>
        <v>Atlanta-Sandy Springs-Marietta</v>
      </c>
      <c r="P29" s="2922"/>
      <c r="Q29" s="2957"/>
      <c r="R29" s="2958"/>
      <c r="S29" s="2959"/>
      <c r="Z29" s="1618">
        <v>29</v>
      </c>
      <c r="AA29" s="1729">
        <v>28</v>
      </c>
    </row>
    <row r="30" spans="1:27" s="144" customFormat="1">
      <c r="A30" s="374"/>
      <c r="B30" s="374"/>
      <c r="C30" s="251"/>
      <c r="D30" s="252"/>
      <c r="E30" s="252"/>
      <c r="F30" s="248"/>
      <c r="G30" s="248"/>
      <c r="H30" s="248"/>
      <c r="I30" s="248"/>
      <c r="J30" s="252"/>
      <c r="K30" s="248"/>
      <c r="L30" s="248"/>
      <c r="P30" s="248"/>
      <c r="Q30" s="2957"/>
      <c r="R30" s="2958"/>
      <c r="S30" s="2959"/>
      <c r="Z30" s="1618">
        <v>30</v>
      </c>
      <c r="AA30" s="1729">
        <v>29</v>
      </c>
    </row>
    <row r="31" spans="1:27" s="144" customFormat="1">
      <c r="A31" s="222" t="s">
        <v>1663</v>
      </c>
      <c r="B31" s="222" t="s">
        <v>4546</v>
      </c>
      <c r="D31" s="253"/>
      <c r="E31" s="253"/>
      <c r="F31" s="253"/>
      <c r="G31" s="248"/>
      <c r="H31" s="248"/>
      <c r="I31" s="248"/>
      <c r="J31" s="252"/>
      <c r="K31" s="248"/>
      <c r="L31" s="248"/>
      <c r="P31" s="1847"/>
      <c r="Q31" s="2957"/>
      <c r="R31" s="2958"/>
      <c r="S31" s="2959"/>
      <c r="Z31" s="1618">
        <v>31</v>
      </c>
      <c r="AA31" s="1729">
        <v>30</v>
      </c>
    </row>
    <row r="32" spans="1:27" s="144" customFormat="1" ht="2.25" customHeight="1">
      <c r="A32" s="374"/>
      <c r="B32" s="374"/>
      <c r="M32" s="246"/>
      <c r="N32" s="1155"/>
      <c r="O32" s="1155"/>
      <c r="P32" s="1466"/>
      <c r="Q32" s="2957"/>
      <c r="R32" s="2958"/>
      <c r="S32" s="2959"/>
      <c r="Z32" s="1618">
        <v>32</v>
      </c>
      <c r="AA32" s="1729">
        <v>31</v>
      </c>
    </row>
    <row r="33" spans="1:27" s="144" customFormat="1">
      <c r="A33" s="374"/>
      <c r="B33" s="222" t="s">
        <v>4545</v>
      </c>
      <c r="D33" s="804"/>
      <c r="E33" s="804"/>
      <c r="F33" s="804"/>
      <c r="G33" s="804"/>
      <c r="H33" s="248"/>
      <c r="J33" s="145"/>
      <c r="K33" s="252"/>
      <c r="P33" s="248"/>
      <c r="Q33" s="2957"/>
      <c r="R33" s="2958"/>
      <c r="S33" s="2959"/>
      <c r="Z33" s="1618">
        <v>33</v>
      </c>
      <c r="AA33" s="1729">
        <v>32</v>
      </c>
    </row>
    <row r="34" spans="1:27" s="144" customFormat="1" ht="1.5" customHeight="1">
      <c r="A34" s="374"/>
      <c r="B34" s="374"/>
      <c r="C34" s="222"/>
      <c r="D34" s="804"/>
      <c r="E34" s="804"/>
      <c r="F34" s="804"/>
      <c r="G34" s="804"/>
      <c r="H34" s="248"/>
      <c r="J34" s="145"/>
      <c r="K34" s="252"/>
      <c r="P34" s="248"/>
      <c r="Q34" s="2957"/>
      <c r="R34" s="2958"/>
      <c r="S34" s="2959"/>
      <c r="Z34" s="1618">
        <v>34</v>
      </c>
      <c r="AA34" s="1729">
        <v>33</v>
      </c>
    </row>
    <row r="35" spans="1:27" s="144" customFormat="1" ht="13.5" hidden="1" customHeight="1">
      <c r="A35" s="374"/>
      <c r="B35" s="374"/>
      <c r="C35" s="144" t="s">
        <v>1206</v>
      </c>
      <c r="D35" s="258"/>
      <c r="I35" s="1189"/>
      <c r="K35" s="243"/>
      <c r="L35" s="144" t="s">
        <v>3001</v>
      </c>
      <c r="P35" s="1802"/>
      <c r="Q35" s="2957"/>
      <c r="R35" s="2958"/>
      <c r="S35" s="2959"/>
      <c r="Z35" s="1618">
        <v>35</v>
      </c>
      <c r="AA35" s="1729">
        <v>34</v>
      </c>
    </row>
    <row r="36" spans="1:27" s="144" customFormat="1" ht="12.75" hidden="1" customHeight="1">
      <c r="A36" s="374"/>
      <c r="B36" s="243"/>
      <c r="C36" s="144" t="s">
        <v>3806</v>
      </c>
      <c r="I36" s="1796"/>
      <c r="J36" s="257" t="s">
        <v>2476</v>
      </c>
      <c r="O36" s="2927"/>
      <c r="P36" s="2928"/>
      <c r="Q36" s="2957"/>
      <c r="R36" s="2958"/>
      <c r="S36" s="2959"/>
      <c r="Z36" s="1618">
        <v>36</v>
      </c>
      <c r="AA36" s="1729">
        <v>35</v>
      </c>
    </row>
    <row r="37" spans="1:27" s="144" customFormat="1" ht="12.75" customHeight="1">
      <c r="A37" s="374"/>
      <c r="B37" s="243"/>
      <c r="C37" s="144" t="s">
        <v>1671</v>
      </c>
      <c r="I37" s="1189" t="s">
        <v>2644</v>
      </c>
      <c r="J37" s="257" t="s">
        <v>2476</v>
      </c>
      <c r="O37" s="2929"/>
      <c r="P37" s="2930"/>
      <c r="Q37" s="2957"/>
      <c r="R37" s="2958"/>
      <c r="S37" s="2959"/>
      <c r="Z37" s="1618">
        <v>37</v>
      </c>
      <c r="AA37" s="1729">
        <v>36</v>
      </c>
    </row>
    <row r="38" spans="1:27" s="144" customFormat="1" ht="12.6" customHeight="1">
      <c r="A38" s="374"/>
      <c r="B38" s="374"/>
      <c r="C38" s="144" t="s">
        <v>2567</v>
      </c>
      <c r="I38" s="849" t="s">
        <v>2644</v>
      </c>
      <c r="J38" s="257" t="s">
        <v>2476</v>
      </c>
      <c r="O38" s="2931"/>
      <c r="P38" s="2932"/>
      <c r="Q38" s="2960"/>
      <c r="R38" s="2961"/>
      <c r="S38" s="296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3" t="s">
        <v>5205</v>
      </c>
      <c r="B43" s="2934"/>
      <c r="C43" s="2934"/>
      <c r="D43" s="2934"/>
      <c r="E43" s="2934"/>
      <c r="F43" s="2934"/>
      <c r="G43" s="2934"/>
      <c r="H43" s="2934"/>
      <c r="I43" s="2934"/>
      <c r="J43" s="2934"/>
      <c r="K43" s="2934"/>
      <c r="L43" s="2935"/>
      <c r="M43" s="2936"/>
      <c r="N43" s="2937"/>
      <c r="O43" s="2937"/>
      <c r="P43" s="2938"/>
      <c r="Q43" s="2913"/>
      <c r="R43" s="2909"/>
      <c r="S43" s="2909"/>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63bmjI7ZiGm5vBE7B4lptt/Ufu9d0P9qZWX3mUk7oZ38+9VZyIxbKzKoCC8ijgvRUMAAFU932/VQ6MFzELONjQ==" saltValue="VTDk6PU1Px6DJTDqm7Ct2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6" t="s">
        <v>2574</v>
      </c>
      <c r="B1" s="4636"/>
      <c r="C1" s="4636"/>
      <c r="D1" s="4636"/>
      <c r="E1" s="4636"/>
      <c r="F1" s="4636"/>
      <c r="G1" s="4636"/>
      <c r="H1" s="4636"/>
      <c r="I1" s="4636"/>
      <c r="J1" s="4636"/>
    </row>
    <row r="2" spans="1:16" ht="15.75">
      <c r="A2" s="4636" t="str">
        <f>'Sensitivity Analysis'!C8</f>
        <v>Wesley Square</v>
      </c>
      <c r="B2" s="4636"/>
      <c r="C2" s="4636"/>
      <c r="D2" s="4636"/>
      <c r="E2" s="4636"/>
      <c r="F2" s="4636"/>
      <c r="G2" s="4636"/>
      <c r="H2" s="4636"/>
      <c r="I2" s="4636"/>
      <c r="J2" s="4636"/>
    </row>
    <row r="3" spans="1:16" ht="15.75">
      <c r="A3" s="4636" t="str">
        <f>'Subsidy Layering Memo'!F14</f>
        <v>Norcross, Gwinnett</v>
      </c>
      <c r="B3" s="4636"/>
      <c r="C3" s="4636"/>
      <c r="D3" s="4636"/>
      <c r="E3" s="4636"/>
      <c r="F3" s="4636"/>
      <c r="G3" s="4636"/>
      <c r="H3" s="4636"/>
      <c r="I3" s="4636"/>
      <c r="J3" s="4636"/>
    </row>
    <row r="4" spans="1:16" ht="15.75">
      <c r="A4" s="4637" t="s">
        <v>2575</v>
      </c>
      <c r="B4" s="4636"/>
      <c r="C4" s="4636"/>
      <c r="D4" s="4636"/>
      <c r="E4" s="4636"/>
      <c r="F4" s="4636"/>
      <c r="G4" s="4636"/>
      <c r="H4" s="4636"/>
      <c r="I4" s="4636"/>
      <c r="J4" s="4636"/>
    </row>
    <row r="5" spans="1:16" ht="5.25" customHeight="1"/>
    <row r="6" spans="1:16" ht="5.25" customHeight="1"/>
    <row r="7" spans="1:16" ht="15.75">
      <c r="A7" s="4638" t="s">
        <v>2576</v>
      </c>
      <c r="B7" s="4638"/>
      <c r="C7" s="4639"/>
      <c r="M7" s="4640"/>
      <c r="N7" s="4640"/>
      <c r="O7" s="4640"/>
      <c r="P7" s="4640"/>
    </row>
    <row r="8" spans="1:16" ht="57" customHeight="1">
      <c r="A8" s="4641" t="s">
        <v>4050</v>
      </c>
      <c r="B8" s="4641"/>
      <c r="C8" s="4641"/>
      <c r="D8" s="4641"/>
      <c r="E8" s="4641"/>
      <c r="F8" s="4641"/>
      <c r="G8" s="4641"/>
      <c r="H8" s="4641"/>
      <c r="I8" s="4641"/>
      <c r="J8" s="4641"/>
      <c r="K8" s="505"/>
    </row>
    <row r="9" spans="1:16" ht="45.75" customHeight="1">
      <c r="A9" s="46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Norcross, Gwinnett County, Georgia, with the development of 72 units set aside for &lt;&lt; Select PROPOSED Tenancy &gt;&gt;.</v>
      </c>
      <c r="B9" s="4641"/>
      <c r="C9" s="4641"/>
      <c r="D9" s="4641"/>
      <c r="E9" s="4641"/>
      <c r="F9" s="4641"/>
      <c r="G9" s="4641"/>
      <c r="H9" s="4641"/>
      <c r="I9" s="4641"/>
      <c r="J9" s="4641"/>
      <c r="K9" s="505"/>
    </row>
    <row r="10" spans="1:16" ht="15.75">
      <c r="A10" s="506" t="s">
        <v>2577</v>
      </c>
    </row>
    <row r="11" spans="1:16" ht="16.5" customHeight="1">
      <c r="A11" s="4641" t="str">
        <f>'Subsidy Layering Memo'!A50</f>
        <v xml:space="preserve">Ownership entity:  (NAME) LP, a Georgia Limited Partnership, will be the ownership entity for the proposed project. </v>
      </c>
      <c r="B11" s="4643"/>
      <c r="C11" s="4643"/>
      <c r="D11" s="4643"/>
      <c r="E11" s="4643"/>
      <c r="F11" s="4643"/>
      <c r="G11" s="4643"/>
      <c r="H11" s="4643"/>
      <c r="I11" s="4643"/>
      <c r="J11" s="4641"/>
    </row>
    <row r="12" spans="1:16" ht="63.75" customHeight="1">
      <c r="A12" s="46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1"/>
      <c r="C12" s="4641"/>
      <c r="D12" s="4641"/>
      <c r="E12" s="4641"/>
      <c r="F12" s="4641"/>
      <c r="G12" s="4641"/>
      <c r="H12" s="4641"/>
      <c r="I12" s="4641"/>
      <c r="J12" s="4641"/>
    </row>
    <row r="13" spans="1:16" ht="48.75" customHeight="1">
      <c r="A13" s="46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1"/>
      <c r="C13" s="4641"/>
      <c r="D13" s="4641"/>
      <c r="E13" s="4641"/>
      <c r="F13" s="4641"/>
      <c r="G13" s="4641"/>
      <c r="H13" s="4641"/>
      <c r="I13" s="4641"/>
      <c r="J13" s="4641"/>
    </row>
    <row r="14" spans="1:16" ht="15.75">
      <c r="A14" s="506" t="s">
        <v>2578</v>
      </c>
      <c r="B14" s="507"/>
    </row>
    <row r="15" spans="1:16">
      <c r="A15" s="504" t="s">
        <v>2579</v>
      </c>
      <c r="D15" s="1002" t="s">
        <v>2580</v>
      </c>
    </row>
    <row r="16" spans="1:16">
      <c r="A16" s="504" t="s">
        <v>2581</v>
      </c>
      <c r="D16" s="1195">
        <f>'Sensitivity Analysis'!C25</f>
        <v>3841375</v>
      </c>
    </row>
    <row r="17" spans="1:11">
      <c r="A17" s="508" t="s">
        <v>2582</v>
      </c>
      <c r="D17" s="1196">
        <f>'Sensitivity Analysis'!C13</f>
        <v>72</v>
      </c>
    </row>
    <row r="18" spans="1:11" ht="14.25" customHeight="1"/>
    <row r="19" spans="1:11" ht="15.75">
      <c r="A19" s="506" t="s">
        <v>2583</v>
      </c>
      <c r="B19" s="507"/>
      <c r="C19" s="507"/>
    </row>
    <row r="20" spans="1:11" ht="48.75" customHeight="1">
      <c r="A20" s="46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4"/>
      <c r="C20" s="4644"/>
      <c r="D20" s="4644"/>
      <c r="E20" s="4644"/>
      <c r="F20" s="4644"/>
      <c r="G20" s="4644"/>
      <c r="H20" s="4644"/>
      <c r="I20" s="4644"/>
      <c r="J20" s="4644"/>
    </row>
    <row r="21" spans="1:11" ht="72.75" customHeight="1">
      <c r="A21" s="4641" t="str">
        <f ca="1">'Subsidy Layering Memo'!A67</f>
        <v xml:space="preserve"> will make a capital contribution totaling 11440000 via the syndication of the 2024 Federal LIHTC allocation of 1300000 per annum. will make a capital contribution totaling 7150000 via the syndication of the 2024 State LIHTC allocation of 1300000 per annum.</v>
      </c>
      <c r="B21" s="4641"/>
      <c r="C21" s="4641"/>
      <c r="D21" s="4641"/>
      <c r="E21" s="4641"/>
      <c r="F21" s="4641"/>
      <c r="G21" s="4641"/>
      <c r="H21" s="4641"/>
      <c r="I21" s="4641"/>
      <c r="J21" s="4641"/>
    </row>
    <row r="22" spans="1:11" ht="43.5" customHeight="1">
      <c r="A22" s="4645" t="str">
        <f>'Subsidy Layering Memo'!A68</f>
        <v xml:space="preserve">The total equity price per credit will be 1.43 (0.88 Federal tax credit and 0.55 State tax credit) for a (X%) ownership interest of the Federal Credits and a (X%) ownership interest of the State Credits. </v>
      </c>
      <c r="B22" s="4645"/>
      <c r="C22" s="4645"/>
      <c r="D22" s="4645"/>
      <c r="E22" s="4645"/>
      <c r="F22" s="4645"/>
      <c r="G22" s="4645"/>
      <c r="H22" s="4645"/>
      <c r="I22" s="4645"/>
      <c r="J22" s="4645"/>
    </row>
    <row r="23" spans="1:11" ht="15.75">
      <c r="A23" s="506" t="s">
        <v>4051</v>
      </c>
      <c r="B23" s="507"/>
      <c r="C23" s="507"/>
      <c r="D23" s="507"/>
      <c r="E23" s="507"/>
      <c r="F23" s="507"/>
    </row>
    <row r="24" spans="1:11" ht="102.75" customHeight="1">
      <c r="A24" s="46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1"/>
      <c r="C24" s="4641"/>
      <c r="D24" s="4641"/>
      <c r="E24" s="4641"/>
      <c r="F24" s="4641"/>
      <c r="G24" s="4641"/>
      <c r="H24" s="4641"/>
      <c r="I24" s="4641"/>
      <c r="J24" s="4641"/>
    </row>
    <row r="25" spans="1:11" ht="15" customHeight="1">
      <c r="A25" s="4642"/>
      <c r="B25" s="4642"/>
      <c r="C25" s="4642"/>
      <c r="D25" s="4642"/>
      <c r="E25" s="4642"/>
      <c r="F25" s="4642"/>
      <c r="G25" s="4642"/>
      <c r="H25" s="4642"/>
      <c r="I25" s="4642"/>
      <c r="J25" s="4642"/>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Wesley Square</v>
      </c>
    </row>
    <row r="13" spans="1:10" ht="15">
      <c r="A13" s="514"/>
      <c r="D13" s="513" t="s">
        <v>2597</v>
      </c>
      <c r="F13" s="1003" t="str">
        <f>'Sensitivity Analysis'!E8</f>
        <v>2024-0</v>
      </c>
    </row>
    <row r="14" spans="1:10" ht="15">
      <c r="A14" s="514"/>
      <c r="D14" s="513" t="s">
        <v>2598</v>
      </c>
      <c r="F14" s="1003" t="str">
        <f>'Sensitivity Analysis'!H8</f>
        <v>Norcross, Gwinnett</v>
      </c>
    </row>
    <row r="15" spans="1:10" ht="15">
      <c r="A15" s="514"/>
      <c r="D15" s="513" t="s">
        <v>2881</v>
      </c>
      <c r="F15" s="4655">
        <f>'Sensitivity Analysis'!$C$25</f>
        <v>3841375</v>
      </c>
      <c r="G15" s="4655"/>
      <c r="H15" s="4655"/>
    </row>
    <row r="16" spans="1:10">
      <c r="D16" s="516" t="s">
        <v>4944</v>
      </c>
      <c r="F16" s="2390">
        <f>'Sensitivity Analysis'!C13</f>
        <v>72</v>
      </c>
      <c r="G16" s="2388">
        <f>'Sensitivity Analysis'!E13</f>
        <v>58</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4053</v>
      </c>
    </row>
    <row r="22" spans="1:18" ht="111.75" customHeight="1">
      <c r="A22" s="4647" t="s">
        <v>3013</v>
      </c>
      <c r="B22" s="4647"/>
      <c r="C22" s="4647"/>
      <c r="D22" s="4647"/>
      <c r="E22" s="4647"/>
      <c r="F22" s="4647"/>
      <c r="G22" s="4647"/>
      <c r="H22" s="4647"/>
      <c r="I22" s="4647"/>
      <c r="J22" s="4647"/>
      <c r="K22" s="4646" t="s">
        <v>3772</v>
      </c>
      <c r="L22" s="4646"/>
      <c r="M22" s="4646"/>
      <c r="N22" s="464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8"/>
      <c r="B24" s="4648"/>
      <c r="C24" s="4648"/>
      <c r="D24" s="4648"/>
      <c r="E24" s="4648"/>
      <c r="F24" s="4648"/>
      <c r="G24" s="4648"/>
      <c r="H24" s="4648"/>
      <c r="I24" s="4648"/>
      <c r="J24" s="4648"/>
    </row>
    <row r="25" spans="1:18" ht="10.5" hidden="1" customHeight="1">
      <c r="A25" s="4645"/>
      <c r="B25" s="4645"/>
      <c r="C25" s="4645"/>
      <c r="D25" s="4645"/>
      <c r="E25" s="4645"/>
      <c r="F25" s="4645"/>
      <c r="G25" s="4645"/>
      <c r="H25" s="4645"/>
      <c r="I25" s="4645"/>
      <c r="J25" s="4645"/>
    </row>
    <row r="26" spans="1:18" ht="15">
      <c r="A26" s="519" t="s">
        <v>4052</v>
      </c>
    </row>
    <row r="27" spans="1:18" ht="14.25" customHeight="1">
      <c r="A27" s="4649" t="s">
        <v>4054</v>
      </c>
      <c r="B27" s="4649"/>
      <c r="C27" s="4649"/>
      <c r="D27" s="4649"/>
      <c r="E27" s="4649"/>
      <c r="F27" s="4649"/>
      <c r="G27" s="4649"/>
      <c r="H27" s="4649"/>
      <c r="I27" s="4649"/>
      <c r="J27" s="4649"/>
    </row>
    <row r="28" spans="1:18" ht="14.25" customHeight="1">
      <c r="A28" s="4649"/>
      <c r="B28" s="4649"/>
      <c r="C28" s="4649"/>
      <c r="D28" s="4649"/>
      <c r="E28" s="4649"/>
      <c r="F28" s="4649"/>
      <c r="G28" s="4649"/>
      <c r="H28" s="4649"/>
      <c r="I28" s="4649"/>
      <c r="J28" s="4649"/>
    </row>
    <row r="29" spans="1:18" ht="6.75" customHeight="1">
      <c r="A29" s="4649"/>
      <c r="B29" s="4649"/>
      <c r="C29" s="4649"/>
      <c r="D29" s="4649"/>
      <c r="E29" s="4649"/>
      <c r="F29" s="4649"/>
      <c r="G29" s="4649"/>
      <c r="H29" s="4649"/>
      <c r="I29" s="4649"/>
      <c r="J29" s="4649"/>
    </row>
    <row r="30" spans="1:18" ht="21.75" customHeight="1">
      <c r="A30" s="4649"/>
      <c r="B30" s="4649"/>
      <c r="C30" s="4649"/>
      <c r="D30" s="4649"/>
      <c r="E30" s="4649"/>
      <c r="F30" s="4649"/>
      <c r="G30" s="4649"/>
      <c r="H30" s="4649"/>
      <c r="I30" s="4649"/>
      <c r="J30" s="4649"/>
    </row>
    <row r="31" spans="1:18" ht="20.25" customHeight="1">
      <c r="A31" s="4649"/>
      <c r="B31" s="4649"/>
      <c r="C31" s="4649"/>
      <c r="D31" s="4649"/>
      <c r="E31" s="4649"/>
      <c r="F31" s="4649"/>
      <c r="G31" s="4649"/>
      <c r="H31" s="4649"/>
      <c r="I31" s="4649"/>
      <c r="J31" s="4649"/>
    </row>
    <row r="32" spans="1:18" ht="54.75" customHeight="1">
      <c r="A32" s="4649"/>
      <c r="B32" s="4649"/>
      <c r="C32" s="4649"/>
      <c r="D32" s="4649"/>
      <c r="E32" s="4649"/>
      <c r="F32" s="4649"/>
      <c r="G32" s="4649"/>
      <c r="H32" s="4649"/>
      <c r="I32" s="4649"/>
      <c r="J32" s="4649"/>
    </row>
    <row r="33" spans="1:10" ht="0.75" hidden="1" customHeight="1">
      <c r="A33" s="4649"/>
      <c r="B33" s="4649"/>
      <c r="C33" s="4649"/>
      <c r="D33" s="4649"/>
      <c r="E33" s="4649"/>
      <c r="F33" s="4649"/>
      <c r="G33" s="4649"/>
      <c r="H33" s="4649"/>
      <c r="I33" s="4649"/>
      <c r="J33" s="4649"/>
    </row>
    <row r="34" spans="1:10" ht="3.75" hidden="1" customHeight="1">
      <c r="A34" s="4649"/>
      <c r="B34" s="4649"/>
      <c r="C34" s="4649"/>
      <c r="D34" s="4649"/>
      <c r="E34" s="4649"/>
      <c r="F34" s="4649"/>
      <c r="G34" s="4649"/>
      <c r="H34" s="4649"/>
      <c r="I34" s="4649"/>
      <c r="J34" s="4649"/>
    </row>
    <row r="35" spans="1:10" ht="5.25" customHeight="1">
      <c r="A35" s="1192"/>
      <c r="B35" s="1192"/>
      <c r="C35" s="1192"/>
      <c r="D35" s="1192"/>
      <c r="E35" s="1192"/>
      <c r="F35" s="1192"/>
      <c r="G35" s="1192"/>
      <c r="H35" s="1192"/>
      <c r="I35" s="1192"/>
      <c r="J35" s="1192"/>
    </row>
    <row r="36" spans="1:10" ht="19.5" customHeight="1">
      <c r="A36" s="4648" t="s">
        <v>4055</v>
      </c>
      <c r="B36" s="4648"/>
      <c r="C36" s="4648"/>
      <c r="D36" s="1190"/>
      <c r="E36" s="1190"/>
      <c r="F36" s="1190"/>
      <c r="G36" s="1190"/>
      <c r="H36" s="1190"/>
      <c r="I36" s="1190"/>
      <c r="J36" s="1190"/>
    </row>
    <row r="37" spans="1:10" ht="22.5" customHeight="1">
      <c r="A37" s="4645" t="s">
        <v>1611</v>
      </c>
      <c r="B37" s="4645"/>
      <c r="C37" s="4645"/>
      <c r="D37" s="4645"/>
      <c r="E37" s="4645"/>
      <c r="F37" s="4645"/>
      <c r="G37" s="4645"/>
      <c r="H37" s="4645"/>
      <c r="I37" s="4645"/>
      <c r="J37" s="4645"/>
    </row>
    <row r="38" spans="1:10" ht="22.5" customHeight="1">
      <c r="A38" s="4645" t="s">
        <v>1612</v>
      </c>
      <c r="B38" s="4645"/>
      <c r="C38" s="4645"/>
      <c r="D38" s="4645"/>
      <c r="E38" s="4645"/>
      <c r="F38" s="4645"/>
      <c r="G38" s="4645"/>
      <c r="H38" s="4645"/>
      <c r="I38" s="4645"/>
      <c r="J38" s="4645"/>
    </row>
    <row r="39" spans="1:10" ht="22.5" customHeight="1">
      <c r="A39" s="4645" t="s">
        <v>1613</v>
      </c>
      <c r="B39" s="4645"/>
      <c r="C39" s="4645"/>
      <c r="D39" s="4645"/>
      <c r="E39" s="4645"/>
      <c r="F39" s="4645"/>
      <c r="G39" s="4645"/>
      <c r="H39" s="4645"/>
      <c r="I39" s="4645"/>
      <c r="J39" s="4645"/>
    </row>
    <row r="40" spans="1:10" ht="22.5" customHeight="1">
      <c r="A40" s="4645" t="s">
        <v>2176</v>
      </c>
      <c r="B40" s="4645"/>
      <c r="C40" s="4645"/>
      <c r="D40" s="4645"/>
      <c r="E40" s="4645"/>
      <c r="F40" s="4645"/>
      <c r="G40" s="4645"/>
      <c r="H40" s="4645"/>
      <c r="I40" s="4645"/>
      <c r="J40" s="4645"/>
    </row>
    <row r="41" spans="1:10" ht="22.5" customHeight="1">
      <c r="A41" s="4645" t="s">
        <v>1446</v>
      </c>
      <c r="B41" s="4645"/>
      <c r="C41" s="4645"/>
      <c r="D41" s="4645"/>
      <c r="E41" s="4645"/>
      <c r="F41" s="4645"/>
      <c r="G41" s="4645"/>
      <c r="H41" s="4645"/>
      <c r="I41" s="4645"/>
      <c r="J41" s="4645"/>
    </row>
    <row r="42" spans="1:10" ht="22.5" customHeight="1">
      <c r="A42" s="4645" t="s">
        <v>1447</v>
      </c>
      <c r="B42" s="4645"/>
      <c r="C42" s="4645"/>
      <c r="D42" s="4645"/>
      <c r="E42" s="4645"/>
      <c r="F42" s="4645"/>
      <c r="G42" s="4645"/>
      <c r="H42" s="4645"/>
      <c r="I42" s="4645"/>
      <c r="J42" s="4645"/>
    </row>
    <row r="43" spans="1:10" ht="22.5" customHeight="1">
      <c r="A43" s="4645" t="s">
        <v>93</v>
      </c>
      <c r="B43" s="4645"/>
      <c r="C43" s="4645"/>
      <c r="D43" s="4645"/>
      <c r="E43" s="4645"/>
      <c r="F43" s="4645"/>
      <c r="G43" s="4645"/>
      <c r="H43" s="4645"/>
      <c r="I43" s="4645"/>
      <c r="J43" s="4645"/>
    </row>
    <row r="44" spans="1:10" ht="22.5" customHeight="1">
      <c r="A44" s="4645" t="s">
        <v>480</v>
      </c>
      <c r="B44" s="4645"/>
      <c r="C44" s="4645"/>
      <c r="D44" s="4645"/>
      <c r="E44" s="4645"/>
      <c r="F44" s="4645"/>
      <c r="G44" s="4645"/>
      <c r="H44" s="4645"/>
      <c r="I44" s="4645"/>
      <c r="J44" s="4645"/>
    </row>
    <row r="45" spans="1:10" ht="2.25" customHeight="1">
      <c r="A45" s="1190"/>
      <c r="B45" s="1190"/>
      <c r="C45" s="1190"/>
      <c r="D45" s="1190"/>
      <c r="E45" s="1190"/>
      <c r="F45" s="1190"/>
      <c r="G45" s="1190"/>
      <c r="H45" s="1190"/>
      <c r="I45" s="1190"/>
      <c r="J45" s="1190"/>
    </row>
    <row r="46" spans="1:10" ht="15">
      <c r="A46" s="519" t="s">
        <v>2599</v>
      </c>
    </row>
    <row r="47" spans="1:10" ht="135" customHeight="1">
      <c r="A47" s="4645" t="s">
        <v>4945</v>
      </c>
      <c r="B47" s="4645"/>
      <c r="C47" s="4645"/>
      <c r="D47" s="4645"/>
      <c r="E47" s="4645"/>
      <c r="F47" s="4645"/>
      <c r="G47" s="4645"/>
      <c r="H47" s="4645"/>
      <c r="I47" s="4645"/>
      <c r="J47" s="4645"/>
    </row>
    <row r="48" spans="1:10" ht="6" customHeight="1">
      <c r="A48" s="1191"/>
      <c r="B48" s="1191"/>
      <c r="C48" s="1191"/>
      <c r="D48" s="1191"/>
      <c r="E48" s="1191"/>
      <c r="F48" s="1191"/>
      <c r="G48" s="1191"/>
      <c r="H48" s="1191"/>
      <c r="I48" s="1191"/>
      <c r="J48" s="1191"/>
    </row>
    <row r="49" spans="1:12" ht="15">
      <c r="A49" s="519" t="s">
        <v>2600</v>
      </c>
    </row>
    <row r="50" spans="1:12" ht="33" customHeight="1">
      <c r="A50" s="4641" t="s">
        <v>3362</v>
      </c>
      <c r="B50" s="4643"/>
      <c r="C50" s="4643"/>
      <c r="D50" s="4643"/>
      <c r="E50" s="4643"/>
      <c r="F50" s="4643"/>
      <c r="G50" s="4643"/>
      <c r="H50" s="4643"/>
      <c r="I50" s="4643"/>
      <c r="J50" s="4641"/>
    </row>
    <row r="51" spans="1:12" ht="3" customHeight="1"/>
    <row r="52" spans="1:12" ht="72.75" customHeight="1">
      <c r="A52" s="4641" t="s">
        <v>3363</v>
      </c>
      <c r="B52" s="4641"/>
      <c r="C52" s="4641"/>
      <c r="D52" s="4641"/>
      <c r="E52" s="4641"/>
      <c r="F52" s="4641"/>
      <c r="G52" s="4641"/>
      <c r="H52" s="4641"/>
      <c r="I52" s="4641"/>
      <c r="J52" s="4641"/>
    </row>
    <row r="53" spans="1:12" ht="3" customHeight="1">
      <c r="A53" s="1190"/>
      <c r="B53" s="1190"/>
      <c r="C53" s="1190"/>
      <c r="D53" s="1190"/>
      <c r="E53" s="1190"/>
      <c r="F53" s="1190"/>
      <c r="G53" s="1190"/>
      <c r="H53" s="1190"/>
      <c r="I53" s="1190"/>
      <c r="J53" s="1190"/>
    </row>
    <row r="54" spans="1:12" ht="56.25" customHeight="1">
      <c r="A54" s="4641" t="s">
        <v>3364</v>
      </c>
      <c r="B54" s="4641"/>
      <c r="C54" s="4641"/>
      <c r="D54" s="4641"/>
      <c r="E54" s="4641"/>
      <c r="F54" s="4641"/>
      <c r="G54" s="4641"/>
      <c r="H54" s="4641"/>
      <c r="I54" s="4641"/>
      <c r="J54" s="4641"/>
    </row>
    <row r="55" spans="1:12" ht="3" customHeight="1">
      <c r="A55" s="1190"/>
      <c r="B55" s="1190"/>
      <c r="C55" s="1190"/>
      <c r="D55" s="1190"/>
      <c r="E55" s="1190"/>
      <c r="F55" s="1190"/>
      <c r="G55" s="1190"/>
      <c r="H55" s="1190"/>
      <c r="I55" s="1190"/>
      <c r="J55" s="1190"/>
    </row>
    <row r="56" spans="1:12" ht="49.5" customHeight="1">
      <c r="A56" s="4641" t="s">
        <v>3365</v>
      </c>
      <c r="B56" s="4641"/>
      <c r="C56" s="4641"/>
      <c r="D56" s="4641"/>
      <c r="E56" s="4641"/>
      <c r="F56" s="4641"/>
      <c r="G56" s="4641"/>
      <c r="H56" s="4641"/>
      <c r="I56" s="4641"/>
      <c r="J56" s="1190"/>
    </row>
    <row r="57" spans="1:12" ht="3" customHeight="1">
      <c r="A57" s="1190"/>
      <c r="B57" s="1190"/>
      <c r="C57" s="1190"/>
      <c r="D57" s="1190"/>
      <c r="E57" s="1190"/>
      <c r="F57" s="1190"/>
      <c r="G57" s="1190"/>
      <c r="H57" s="1190"/>
      <c r="I57" s="1190"/>
      <c r="J57" s="1190"/>
    </row>
    <row r="58" spans="1:12" ht="54.75" customHeight="1">
      <c r="A58" s="4660" t="s">
        <v>2889</v>
      </c>
      <c r="B58" s="4641"/>
      <c r="C58" s="4641"/>
      <c r="D58" s="4641"/>
      <c r="E58" s="4641"/>
      <c r="F58" s="4641"/>
      <c r="G58" s="4641"/>
      <c r="H58" s="4641"/>
      <c r="I58" s="4641"/>
      <c r="J58" s="1190"/>
    </row>
    <row r="59" spans="1:12" ht="3" customHeight="1">
      <c r="A59" s="1190"/>
      <c r="B59" s="1190"/>
      <c r="C59" s="1190"/>
      <c r="D59" s="1190"/>
      <c r="E59" s="1190"/>
      <c r="F59" s="1190"/>
      <c r="G59" s="1190"/>
      <c r="H59" s="1190"/>
      <c r="I59" s="1190"/>
      <c r="J59" s="1190"/>
    </row>
    <row r="60" spans="1:12" ht="62.25" customHeight="1">
      <c r="A60" s="4641" t="s">
        <v>3366</v>
      </c>
      <c r="B60" s="4641"/>
      <c r="C60" s="4641"/>
      <c r="D60" s="4641"/>
      <c r="E60" s="4641"/>
      <c r="F60" s="4641"/>
      <c r="G60" s="4641"/>
      <c r="H60" s="4641"/>
      <c r="I60" s="4641"/>
      <c r="J60" s="4641"/>
    </row>
    <row r="61" spans="1:12" ht="3" customHeight="1"/>
    <row r="62" spans="1:12" ht="73.5" customHeight="1">
      <c r="A62" s="4641" t="s">
        <v>3367</v>
      </c>
      <c r="B62" s="4641"/>
      <c r="C62" s="4641"/>
      <c r="D62" s="4641"/>
      <c r="E62" s="4641"/>
      <c r="F62" s="4641"/>
      <c r="G62" s="4641"/>
      <c r="H62" s="4641"/>
      <c r="I62" s="4641"/>
      <c r="J62" s="4641"/>
    </row>
    <row r="63" spans="1:12" ht="6" customHeight="1">
      <c r="A63" s="1190" t="s">
        <v>233</v>
      </c>
      <c r="B63" s="1190"/>
      <c r="C63" s="1190"/>
      <c r="D63" s="1190"/>
      <c r="E63" s="1190"/>
      <c r="F63" s="1190"/>
      <c r="G63" s="1190"/>
      <c r="H63" s="1190"/>
      <c r="I63" s="1190"/>
      <c r="J63" s="1190"/>
    </row>
    <row r="64" spans="1:12" ht="15">
      <c r="A64" s="519" t="s">
        <v>2601</v>
      </c>
      <c r="L64" s="520" t="s">
        <v>3005</v>
      </c>
    </row>
    <row r="65" spans="1:17" ht="46.5" customHeight="1">
      <c r="A65" s="4647" t="s">
        <v>2602</v>
      </c>
      <c r="B65" s="4647"/>
      <c r="C65" s="4647"/>
      <c r="D65" s="4647"/>
      <c r="E65" s="4647"/>
      <c r="F65" s="4647"/>
      <c r="G65" s="4647"/>
      <c r="H65" s="4647"/>
      <c r="I65" s="4647"/>
      <c r="J65" s="4647"/>
      <c r="L65" s="521">
        <f>'Closing term sheet'!C135</f>
        <v>897745</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41" t="str">
        <f ca="1">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11440000 via the syndication of the 2024 Federal LIHTC allocation of 1300000 per annum. will make a capital contribution totaling 7150000 via the syndication of the 2024 State LIHTC allocation of 1300000 per annum.</v>
      </c>
      <c r="B67" s="4641"/>
      <c r="C67" s="4641"/>
      <c r="D67" s="4641"/>
      <c r="E67" s="4641"/>
      <c r="F67" s="4641"/>
      <c r="G67" s="4641"/>
      <c r="H67" s="4641"/>
      <c r="I67" s="4641"/>
      <c r="J67" s="526"/>
      <c r="L67" s="2391">
        <f ca="1">'Part II-Sources of Funds'!I51</f>
        <v>11440000</v>
      </c>
      <c r="M67" s="2392">
        <f ca="1">'Part III-A-Uses of Funds'!$J$191</f>
        <v>1300000</v>
      </c>
      <c r="N67" s="2393">
        <f>'Part III-A-Uses of Funds'!N182</f>
        <v>0.88</v>
      </c>
      <c r="O67" s="2391">
        <f ca="1">'Part II-Sources of Funds'!I52</f>
        <v>7150000.0000000009</v>
      </c>
      <c r="P67" s="2392">
        <f ca="1">M67</f>
        <v>1300000</v>
      </c>
      <c r="Q67" s="2393">
        <f>'Part III-A-Uses of Funds'!Q182</f>
        <v>0.55000000000000004</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645"/>
      <c r="C68" s="4645"/>
      <c r="D68" s="4645"/>
      <c r="E68" s="4645"/>
      <c r="F68" s="4645"/>
      <c r="G68" s="4645"/>
      <c r="H68" s="4645"/>
      <c r="I68" s="4645"/>
      <c r="J68" s="526"/>
      <c r="L68" s="1467"/>
      <c r="M68" s="1467"/>
      <c r="N68" s="623"/>
      <c r="O68" s="1467"/>
      <c r="P68" s="1467"/>
      <c r="Q68" s="623"/>
    </row>
    <row r="69" spans="1:17" ht="18.75" customHeight="1">
      <c r="A69" s="527" t="s">
        <v>2603</v>
      </c>
    </row>
    <row r="70" spans="1:17" ht="177" customHeight="1">
      <c r="A70" s="4641" t="s">
        <v>4946</v>
      </c>
      <c r="B70" s="4641"/>
      <c r="C70" s="4641"/>
      <c r="D70" s="4641"/>
      <c r="E70" s="4641"/>
      <c r="F70" s="4641"/>
      <c r="G70" s="4641"/>
      <c r="H70" s="4641"/>
      <c r="I70" s="4641"/>
      <c r="J70" s="4641"/>
      <c r="L70" s="528">
        <f>'Part VI-Pro Forma'!K72</f>
        <v>2756073.2933073873</v>
      </c>
      <c r="M70" s="4654" t="s">
        <v>3012</v>
      </c>
      <c r="N70" s="4646"/>
    </row>
    <row r="71" spans="1:17" ht="6" customHeight="1">
      <c r="A71" s="519"/>
    </row>
    <row r="72" spans="1:17" ht="15">
      <c r="A72" s="519" t="s">
        <v>2604</v>
      </c>
    </row>
    <row r="73" spans="1:17" ht="72.599999999999994" customHeight="1">
      <c r="A73" s="4641" t="s">
        <v>2605</v>
      </c>
      <c r="B73" s="4641"/>
      <c r="C73" s="4641"/>
      <c r="D73" s="4641"/>
      <c r="E73" s="4641"/>
      <c r="F73" s="4641"/>
      <c r="G73" s="4641"/>
      <c r="H73" s="4641"/>
      <c r="I73" s="4641"/>
      <c r="J73" s="4641"/>
    </row>
    <row r="74" spans="1:17" ht="36" customHeight="1">
      <c r="A74" s="4641" t="s">
        <v>2606</v>
      </c>
      <c r="B74" s="4641"/>
      <c r="C74" s="4641"/>
      <c r="D74" s="4641"/>
      <c r="E74" s="4641"/>
      <c r="F74" s="4641"/>
      <c r="G74" s="4641"/>
      <c r="H74" s="4641"/>
      <c r="I74" s="4641"/>
      <c r="J74" s="4641"/>
    </row>
    <row r="75" spans="1:17" ht="6" customHeight="1">
      <c r="A75" s="519"/>
    </row>
    <row r="76" spans="1:17" ht="15">
      <c r="A76" s="519" t="s">
        <v>2607</v>
      </c>
    </row>
    <row r="77" spans="1:17" ht="105.75" customHeight="1">
      <c r="A77" s="4641" t="s">
        <v>2608</v>
      </c>
      <c r="B77" s="4641"/>
      <c r="C77" s="4641"/>
      <c r="D77" s="4641"/>
      <c r="E77" s="4641"/>
      <c r="F77" s="4641"/>
      <c r="G77" s="4641"/>
      <c r="H77" s="4641"/>
      <c r="I77" s="4641"/>
      <c r="J77" s="4641"/>
    </row>
    <row r="78" spans="1:17" ht="6" customHeight="1">
      <c r="A78" s="519"/>
    </row>
    <row r="79" spans="1:17" ht="15">
      <c r="A79" s="519" t="s">
        <v>2609</v>
      </c>
    </row>
    <row r="80" spans="1:17" ht="66" customHeight="1">
      <c r="A80" s="4641" t="s">
        <v>2610</v>
      </c>
      <c r="B80" s="4641"/>
      <c r="C80" s="4641"/>
      <c r="D80" s="4641"/>
      <c r="E80" s="4641"/>
      <c r="F80" s="4641"/>
      <c r="G80" s="4641"/>
      <c r="H80" s="4641"/>
      <c r="I80" s="4641"/>
      <c r="J80" s="4641"/>
    </row>
    <row r="81" spans="1:15" s="1192" customFormat="1" ht="6" customHeight="1">
      <c r="A81" s="4641"/>
      <c r="B81" s="4641"/>
      <c r="C81" s="4641"/>
      <c r="D81" s="4641"/>
      <c r="E81" s="4641"/>
      <c r="F81" s="4641"/>
      <c r="G81" s="4641"/>
      <c r="H81" s="4641"/>
      <c r="I81" s="4641"/>
      <c r="J81" s="4641"/>
    </row>
    <row r="82" spans="1:15" ht="16.5" customHeight="1">
      <c r="A82" s="1193" t="s">
        <v>2611</v>
      </c>
      <c r="B82" s="518"/>
      <c r="C82" s="518"/>
      <c r="D82" s="1003"/>
      <c r="E82" s="518"/>
      <c r="F82" s="518"/>
      <c r="G82" s="518"/>
      <c r="H82" s="518"/>
      <c r="I82" s="518"/>
      <c r="J82" s="529"/>
    </row>
    <row r="83" spans="1:15" s="1192" customFormat="1" ht="63" customHeight="1">
      <c r="A83" s="4641" t="s">
        <v>3538</v>
      </c>
      <c r="B83" s="4641"/>
      <c r="C83" s="4641"/>
      <c r="D83" s="4641"/>
      <c r="E83" s="4641"/>
      <c r="F83" s="4641"/>
      <c r="G83" s="4641"/>
      <c r="H83" s="4641"/>
      <c r="I83" s="4641"/>
      <c r="J83" s="4641"/>
    </row>
    <row r="84" spans="1:15" s="1192" customFormat="1" ht="6" customHeight="1">
      <c r="A84" s="1190"/>
      <c r="B84" s="1190"/>
      <c r="C84" s="1190"/>
      <c r="D84" s="1190"/>
      <c r="E84" s="1190"/>
      <c r="F84" s="1190"/>
      <c r="G84" s="1190"/>
      <c r="H84" s="1190"/>
      <c r="I84" s="1190"/>
      <c r="J84" s="1190"/>
    </row>
    <row r="85" spans="1:15" ht="16.5" customHeight="1">
      <c r="A85" s="4651" t="s">
        <v>2612</v>
      </c>
      <c r="B85" s="4652"/>
      <c r="C85" s="4652"/>
      <c r="D85" s="518"/>
      <c r="E85" s="518"/>
      <c r="F85" s="518"/>
      <c r="G85" s="518"/>
      <c r="H85" s="518"/>
      <c r="I85" s="518"/>
      <c r="J85" s="529"/>
    </row>
    <row r="86" spans="1:15" ht="41.25" customHeight="1">
      <c r="A86" s="4641" t="s">
        <v>4947</v>
      </c>
      <c r="B86" s="4653"/>
      <c r="C86" s="4653"/>
      <c r="D86" s="4653"/>
      <c r="E86" s="4653"/>
      <c r="F86" s="4653"/>
      <c r="G86" s="4653"/>
      <c r="H86" s="4653"/>
      <c r="I86" s="4653"/>
      <c r="J86" s="4653"/>
    </row>
    <row r="87" spans="1:15" ht="6" customHeight="1">
      <c r="A87" s="530"/>
      <c r="B87" s="518"/>
      <c r="C87" s="518"/>
      <c r="D87" s="518"/>
      <c r="E87" s="518"/>
      <c r="F87" s="518"/>
      <c r="G87" s="518"/>
      <c r="H87" s="518"/>
      <c r="I87" s="518"/>
      <c r="J87" s="529"/>
    </row>
    <row r="88" spans="1:15" ht="15">
      <c r="A88" s="519" t="s">
        <v>2613</v>
      </c>
    </row>
    <row r="89" spans="1:15" ht="124.15" customHeight="1">
      <c r="A89" s="4641" t="s">
        <v>2614</v>
      </c>
      <c r="B89" s="4641"/>
      <c r="C89" s="4641"/>
      <c r="D89" s="4641"/>
      <c r="E89" s="4641"/>
      <c r="F89" s="4641"/>
      <c r="G89" s="4641"/>
      <c r="H89" s="4641"/>
      <c r="I89" s="4641"/>
      <c r="J89" s="4641"/>
      <c r="L89" s="4646" t="s">
        <v>2615</v>
      </c>
      <c r="M89" s="4646"/>
      <c r="N89" s="4646"/>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1" t="s">
        <v>2617</v>
      </c>
      <c r="B92" s="4641"/>
      <c r="C92" s="4641"/>
      <c r="D92" s="4641"/>
      <c r="E92" s="4641"/>
      <c r="F92" s="4641"/>
      <c r="G92" s="4641"/>
      <c r="H92" s="4641"/>
      <c r="I92" s="4641"/>
      <c r="J92" s="4641"/>
      <c r="L92" s="4646" t="s">
        <v>2618</v>
      </c>
      <c r="M92" s="4646"/>
      <c r="N92" s="531" t="e">
        <f ca="1">'After-Tax Analysis'!G66</f>
        <v>#VALUE!</v>
      </c>
      <c r="O92" s="532" t="s">
        <v>2619</v>
      </c>
    </row>
    <row r="93" spans="1:15" ht="6" customHeight="1">
      <c r="A93" s="519"/>
    </row>
    <row r="94" spans="1:15" ht="15">
      <c r="A94" s="519" t="s">
        <v>2620</v>
      </c>
    </row>
    <row r="95" spans="1:15" ht="118.5" customHeight="1">
      <c r="A95" s="4641" t="s">
        <v>2621</v>
      </c>
      <c r="B95" s="4641"/>
      <c r="C95" s="4641"/>
      <c r="D95" s="4641"/>
      <c r="E95" s="4641"/>
      <c r="F95" s="4641"/>
      <c r="G95" s="4641"/>
      <c r="H95" s="4641"/>
      <c r="I95" s="4641"/>
      <c r="J95" s="4641"/>
    </row>
    <row r="96" spans="1:15" ht="20.25" customHeight="1">
      <c r="A96" s="4643" t="s">
        <v>2622</v>
      </c>
      <c r="B96" s="4643"/>
      <c r="C96" s="4643"/>
      <c r="D96" s="4641"/>
      <c r="E96" s="1190"/>
      <c r="F96" s="1190"/>
      <c r="G96" s="1190"/>
      <c r="H96" s="1190"/>
      <c r="I96" s="1190"/>
      <c r="J96" s="1190"/>
    </row>
    <row r="97" spans="1:14" ht="109.5" customHeight="1">
      <c r="A97" s="4658" t="s">
        <v>2623</v>
      </c>
      <c r="B97" s="4659"/>
      <c r="C97" s="4659"/>
      <c r="D97" s="4659"/>
      <c r="E97" s="4659"/>
      <c r="F97" s="4659"/>
      <c r="G97" s="4659"/>
      <c r="H97" s="4659"/>
      <c r="I97" s="4659"/>
      <c r="J97" s="4659"/>
    </row>
    <row r="98" spans="1:14" ht="11.25" customHeight="1">
      <c r="A98" s="519"/>
    </row>
    <row r="99" spans="1:14" ht="15">
      <c r="A99" s="519" t="s">
        <v>2624</v>
      </c>
    </row>
    <row r="100" spans="1:14" ht="110.65" customHeight="1">
      <c r="A100" s="4647" t="s">
        <v>2625</v>
      </c>
      <c r="B100" s="4647"/>
      <c r="C100" s="4647"/>
      <c r="D100" s="4647"/>
      <c r="E100" s="4647"/>
      <c r="F100" s="4647"/>
      <c r="G100" s="4647"/>
      <c r="H100" s="4647"/>
      <c r="I100" s="4647"/>
      <c r="J100" s="4647"/>
      <c r="L100" s="959">
        <f>'Part VI-Pro Forma'!K72</f>
        <v>2756073.2933073873</v>
      </c>
      <c r="M100" s="4650" t="s">
        <v>2626</v>
      </c>
      <c r="N100" s="465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3" t="s">
        <v>2627</v>
      </c>
      <c r="B104" s="4643"/>
      <c r="C104" s="4643"/>
      <c r="D104" s="1190"/>
      <c r="E104" s="1190"/>
      <c r="F104" s="1190"/>
      <c r="G104" s="1190"/>
      <c r="H104" s="1190"/>
      <c r="I104" s="1190"/>
      <c r="J104" s="529"/>
    </row>
    <row r="105" spans="1:14" ht="37.5" customHeight="1">
      <c r="A105" s="4641" t="s">
        <v>2628</v>
      </c>
      <c r="B105" s="4641"/>
      <c r="C105" s="4641"/>
      <c r="D105" s="4641"/>
      <c r="E105" s="4641"/>
      <c r="F105" s="4641"/>
      <c r="G105" s="4641"/>
      <c r="H105" s="4641"/>
      <c r="I105" s="4641"/>
      <c r="J105" s="4641"/>
    </row>
    <row r="106" spans="1:14" ht="6" customHeight="1">
      <c r="A106" s="519"/>
    </row>
    <row r="107" spans="1:14" ht="15">
      <c r="A107" s="519" t="s">
        <v>2629</v>
      </c>
    </row>
    <row r="108" spans="1:14" ht="43.5" customHeight="1">
      <c r="A108" s="4641" t="s">
        <v>2630</v>
      </c>
      <c r="B108" s="4641"/>
      <c r="C108" s="4641"/>
      <c r="D108" s="4641"/>
      <c r="E108" s="4641"/>
      <c r="F108" s="4641"/>
      <c r="G108" s="4641"/>
      <c r="H108" s="4641"/>
      <c r="I108" s="4641"/>
      <c r="J108" s="4641"/>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56" t="s">
        <v>3964</v>
      </c>
      <c r="B120" s="4656"/>
      <c r="C120" s="4656"/>
      <c r="D120" s="4656"/>
      <c r="E120" s="4657"/>
      <c r="F120" s="1403" t="s">
        <v>3965</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Wesley Square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2"/>
      <c r="J7" s="4662"/>
      <c r="K7" s="4662"/>
      <c r="L7" s="556"/>
      <c r="M7" s="504"/>
    </row>
    <row r="8" spans="1:14" ht="15.75">
      <c r="A8" s="565" t="s">
        <v>2639</v>
      </c>
      <c r="B8" s="565"/>
      <c r="C8" s="4662" t="str">
        <f>'Part I-Project Identification'!$F$26</f>
        <v>Wesley Square</v>
      </c>
      <c r="D8" s="4662"/>
      <c r="E8" s="1887" t="str">
        <f>'Part I-Project Identification'!$O$7</f>
        <v>2024-0</v>
      </c>
      <c r="F8" s="565" t="s">
        <v>2640</v>
      </c>
      <c r="G8" s="556"/>
      <c r="H8" s="4662" t="str">
        <f>CONCATENATE('Part I-Project Identification'!$F$27,", ",'Part I-Project Identification'!$J$27)</f>
        <v>Norcross, Gwinnett</v>
      </c>
      <c r="I8" s="4662"/>
      <c r="J8" s="4662"/>
      <c r="K8" s="4662"/>
      <c r="L8" s="556"/>
      <c r="M8" s="538"/>
    </row>
    <row r="9" spans="1:14" ht="15.75">
      <c r="A9" s="565" t="s">
        <v>2642</v>
      </c>
      <c r="B9" s="565"/>
      <c r="C9" s="4662" t="s">
        <v>1641</v>
      </c>
      <c r="D9" s="4662"/>
      <c r="E9" s="556"/>
      <c r="F9" s="565" t="s">
        <v>2643</v>
      </c>
      <c r="G9" s="556"/>
      <c r="H9" s="4663"/>
      <c r="I9" s="4663"/>
      <c r="J9" s="4663"/>
      <c r="K9" s="4663"/>
      <c r="L9" s="4663"/>
      <c r="M9" s="538"/>
    </row>
    <row r="10" spans="1:14" ht="15.75">
      <c r="A10" s="565" t="s">
        <v>2645</v>
      </c>
      <c r="B10" s="556"/>
      <c r="C10" s="4664"/>
      <c r="D10" s="4664"/>
      <c r="E10" s="556"/>
      <c r="F10" s="565" t="s">
        <v>3046</v>
      </c>
      <c r="G10" s="556"/>
      <c r="H10" s="4661"/>
      <c r="I10" s="4661"/>
      <c r="J10" s="4661"/>
      <c r="K10" s="4661"/>
      <c r="L10" s="4661"/>
    </row>
    <row r="11" spans="1:14" ht="15.75">
      <c r="A11" s="565" t="s">
        <v>2646</v>
      </c>
      <c r="B11" s="556"/>
      <c r="C11" s="4665"/>
      <c r="D11" s="4665"/>
      <c r="E11" s="1901"/>
      <c r="F11" s="565" t="s">
        <v>605</v>
      </c>
      <c r="G11" s="556"/>
      <c r="H11" s="4661"/>
      <c r="I11" s="4661"/>
      <c r="J11" s="4661"/>
      <c r="K11" s="4661"/>
      <c r="L11" s="4661"/>
      <c r="M11" s="4666"/>
      <c r="N11" s="4667"/>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72</v>
      </c>
      <c r="D13" s="26"/>
      <c r="E13" s="1889">
        <f>'Part V-Revenues &amp; Expenses'!$P$63</f>
        <v>58</v>
      </c>
      <c r="F13" s="565" t="s">
        <v>3361</v>
      </c>
      <c r="G13" s="556"/>
      <c r="H13" s="1899"/>
      <c r="I13" s="1891"/>
      <c r="J13" s="1891"/>
      <c r="K13" s="1890">
        <f>'Part V-Revenues &amp; Expenses'!$K$179</f>
        <v>76302</v>
      </c>
      <c r="L13" s="556"/>
      <c r="M13" s="504"/>
    </row>
    <row r="14" spans="1:14" ht="15.75">
      <c r="A14" s="565" t="s">
        <v>2883</v>
      </c>
      <c r="B14" s="556"/>
      <c r="C14" s="1890" t="str">
        <f>'Part VII-Threshold Criteria OLD'!J35</f>
        <v>&lt;&lt; Select PROPOSED Tenancy &gt;&gt;</v>
      </c>
      <c r="D14" s="4662" t="str">
        <f>IF('Part VII-Threshold Criteria OLD'!$N$35=0,"",'Part VII-Threshold Criteria OLD'!$N$35)</f>
        <v/>
      </c>
      <c r="E14" s="4662"/>
      <c r="F14" s="565" t="s">
        <v>2650</v>
      </c>
      <c r="G14" s="556"/>
      <c r="H14" s="4668" t="s">
        <v>3014</v>
      </c>
      <c r="I14" s="4668"/>
      <c r="J14" s="4668"/>
      <c r="K14" s="4668" t="s">
        <v>3014</v>
      </c>
      <c r="L14" s="4668"/>
      <c r="M14" s="504"/>
    </row>
    <row r="15" spans="1:14" ht="15.75">
      <c r="A15" s="565" t="s">
        <v>2651</v>
      </c>
      <c r="B15" s="556"/>
      <c r="C15" s="1892" t="s">
        <v>1641</v>
      </c>
      <c r="D15" s="556"/>
      <c r="E15" s="556"/>
      <c r="F15" s="565" t="s">
        <v>2884</v>
      </c>
      <c r="G15" s="556"/>
      <c r="H15" s="1887" t="str">
        <f>'Part I-Project Identification'!K29</f>
        <v>Urban</v>
      </c>
      <c r="I15" s="556"/>
      <c r="J15" s="556"/>
      <c r="K15" s="556"/>
      <c r="L15" s="556"/>
      <c r="M15" s="504"/>
    </row>
    <row r="16" spans="1:14" ht="15.75">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24123885</v>
      </c>
      <c r="D18" s="1895">
        <f>IF(C18=0,"",$C$29/C18)</f>
        <v>0.15923533875244389</v>
      </c>
      <c r="E18" s="556" t="s">
        <v>2887</v>
      </c>
      <c r="F18" s="565" t="s">
        <v>4637</v>
      </c>
      <c r="G18" s="556"/>
      <c r="H18" s="4669">
        <f>'Part III-A-Uses of Funds'!$C$49</f>
        <v>16758000</v>
      </c>
      <c r="I18" s="4669"/>
      <c r="J18" s="1896">
        <f>IF(H18=0,"",$C$29/H18)</f>
        <v>0.22922633965867048</v>
      </c>
      <c r="K18" s="4662" t="s">
        <v>2888</v>
      </c>
      <c r="L18" s="4662"/>
      <c r="M18" s="504"/>
    </row>
    <row r="19" spans="1:13" ht="15.75">
      <c r="A19" s="565" t="s">
        <v>2652</v>
      </c>
      <c r="B19" s="556"/>
      <c r="C19" s="1897">
        <f>C18/C13</f>
        <v>335053.95833333331</v>
      </c>
      <c r="D19" s="556"/>
      <c r="E19" s="556"/>
      <c r="F19" s="565" t="s">
        <v>2652</v>
      </c>
      <c r="G19" s="556"/>
      <c r="H19" s="4670">
        <f>H18/C13</f>
        <v>232750</v>
      </c>
      <c r="I19" s="4670"/>
      <c r="J19" s="556"/>
      <c r="K19" s="556"/>
      <c r="L19" s="556"/>
      <c r="M19" s="504"/>
    </row>
    <row r="20" spans="1:13" ht="15.75">
      <c r="A20" s="565" t="s">
        <v>2653</v>
      </c>
      <c r="B20" s="556"/>
      <c r="C20" s="1887">
        <f>C18/K13</f>
        <v>316.16320673114728</v>
      </c>
      <c r="D20" s="1898"/>
      <c r="E20" s="1898"/>
      <c r="F20" s="565" t="s">
        <v>2653</v>
      </c>
      <c r="G20" s="556"/>
      <c r="H20" s="4662">
        <f>H18/K13</f>
        <v>219.62727058268459</v>
      </c>
      <c r="I20" s="467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 xml:space="preserve">Grandbridge Real Estate Capital </v>
      </c>
      <c r="C25" s="543">
        <f>'Part II-Sources of Funds'!I40</f>
        <v>3841375</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3841375</v>
      </c>
      <c r="D29" s="504"/>
      <c r="E29" s="504"/>
      <c r="F29" s="504"/>
      <c r="G29" s="504" t="s">
        <v>2662</v>
      </c>
      <c r="H29" s="504"/>
      <c r="I29" s="504"/>
      <c r="K29" s="545" t="e">
        <f>C29/K28</f>
        <v>#DIV/0!</v>
      </c>
      <c r="L29" s="504"/>
      <c r="M29" s="504"/>
    </row>
    <row r="30" spans="1:13" ht="16.5" thickTop="1">
      <c r="A30" s="507" t="s">
        <v>2663</v>
      </c>
      <c r="B30" s="546"/>
      <c r="C30" s="547">
        <f ca="1">'Part II-Sources of Funds'!$I$51+'Part II-Sources of Funds'!$I$52</f>
        <v>18590000</v>
      </c>
      <c r="D30" s="504"/>
      <c r="E30" s="504"/>
      <c r="F30" s="504"/>
      <c r="G30" s="504"/>
      <c r="H30" s="504"/>
      <c r="I30" s="504"/>
      <c r="K30" s="548"/>
      <c r="L30" s="504"/>
      <c r="M30" s="504"/>
    </row>
    <row r="31" spans="1:13" ht="15">
      <c r="A31" s="549" t="s">
        <v>2664</v>
      </c>
      <c r="B31" s="542" t="str">
        <f>'Part II-Sources of Funds'!E41</f>
        <v>Gwinnett County ARPA</v>
      </c>
      <c r="C31" s="543">
        <f>'Part II-Sources of Funds'!I41</f>
        <v>1640000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1640000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5481375</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0.22721775534910732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0.32709004654493379</v>
      </c>
      <c r="D40" s="504"/>
      <c r="E40" s="504"/>
      <c r="F40" s="507"/>
      <c r="G40" s="507" t="s">
        <v>2673</v>
      </c>
      <c r="H40" s="504"/>
      <c r="I40" s="504"/>
      <c r="K40" s="545">
        <f ca="1">C30/C18</f>
        <v>0.77060556373900801</v>
      </c>
      <c r="L40" s="504"/>
      <c r="M40" s="504"/>
    </row>
    <row r="46" spans="1:13" ht="15.75">
      <c r="A46" s="540" t="s">
        <v>2674</v>
      </c>
      <c r="B46" s="534"/>
      <c r="C46" s="534"/>
      <c r="D46" s="534"/>
      <c r="E46" s="534"/>
      <c r="F46" s="534"/>
      <c r="G46" s="534"/>
      <c r="H46" s="534"/>
      <c r="I46" s="534"/>
      <c r="J46" s="534"/>
      <c r="K46" s="534"/>
      <c r="L46" s="534"/>
      <c r="M46" s="504"/>
    </row>
    <row r="47" spans="1:13" ht="15.75">
      <c r="A47" s="540" t="str">
        <f>C8</f>
        <v>Wesley Square</v>
      </c>
      <c r="B47" s="534"/>
      <c r="C47" s="534"/>
      <c r="D47" s="534"/>
      <c r="E47" s="534"/>
      <c r="F47" s="534"/>
      <c r="G47" s="534"/>
      <c r="H47" s="534"/>
      <c r="I47" s="534"/>
      <c r="J47" s="534"/>
      <c r="K47" s="534"/>
      <c r="L47" s="534"/>
      <c r="M47" s="504"/>
    </row>
    <row r="50" spans="1:14" s="504" customFormat="1" ht="15.75">
      <c r="A50" s="507" t="s">
        <v>2675</v>
      </c>
      <c r="C50" s="550" t="s">
        <v>2676</v>
      </c>
      <c r="E50" s="553" t="s">
        <v>3015</v>
      </c>
      <c r="F50" s="554">
        <v>0.1</v>
      </c>
      <c r="G50" s="553" t="s">
        <v>3016</v>
      </c>
      <c r="H50" s="554">
        <v>0.05</v>
      </c>
      <c r="I50" s="553" t="s">
        <v>3017</v>
      </c>
      <c r="J50" s="554">
        <v>0.03</v>
      </c>
      <c r="K50" s="4671" t="s">
        <v>2677</v>
      </c>
      <c r="L50" s="4672"/>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919248</v>
      </c>
      <c r="D52" s="557"/>
      <c r="E52" s="557">
        <f>$C$52</f>
        <v>919248</v>
      </c>
      <c r="F52" s="557"/>
      <c r="G52" s="557">
        <f>$C$52</f>
        <v>919248</v>
      </c>
      <c r="H52" s="557"/>
      <c r="I52" s="557">
        <f>$C$52</f>
        <v>919248</v>
      </c>
      <c r="J52" s="557"/>
      <c r="K52" s="557">
        <f>$C$52</f>
        <v>919248</v>
      </c>
      <c r="L52" s="558"/>
      <c r="M52"/>
      <c r="N52"/>
    </row>
    <row r="53" spans="1:14" s="504" customFormat="1" ht="18.75" customHeight="1">
      <c r="B53" s="556" t="s">
        <v>2681</v>
      </c>
      <c r="C53" s="557">
        <f>'Part VI-Pro Forma'!B16</f>
        <v>18384.96</v>
      </c>
      <c r="D53" s="557"/>
      <c r="E53" s="557">
        <f>$C$53</f>
        <v>18384.96</v>
      </c>
      <c r="F53" s="557"/>
      <c r="G53" s="557">
        <f>$C$53</f>
        <v>18384.96</v>
      </c>
      <c r="H53" s="557"/>
      <c r="I53" s="557">
        <f>$C$53</f>
        <v>18384.96</v>
      </c>
      <c r="J53" s="557"/>
      <c r="K53" s="557">
        <f>$C$53</f>
        <v>18384.96</v>
      </c>
      <c r="L53" s="558"/>
      <c r="M53"/>
      <c r="N53"/>
    </row>
    <row r="54" spans="1:14" s="504" customFormat="1" ht="18.75" customHeight="1">
      <c r="B54" s="556" t="s">
        <v>2679</v>
      </c>
      <c r="C54" s="557">
        <f>'Part VI-Pro Forma'!B17</f>
        <v>-65634.30720000001</v>
      </c>
      <c r="D54" s="557"/>
      <c r="E54" s="557">
        <f>-($C$52+E53)*F50</f>
        <v>-93763.296000000002</v>
      </c>
      <c r="F54" s="559"/>
      <c r="G54" s="557">
        <f>-($C$52+G53)*0.07</f>
        <v>-65634.30720000001</v>
      </c>
      <c r="H54" s="557"/>
      <c r="I54" s="557">
        <f>-($C$52+I53)*0.07</f>
        <v>-65634.30720000001</v>
      </c>
      <c r="J54" s="557"/>
      <c r="K54" s="557">
        <f>-($C$52+K53)*L54</f>
        <v>-93763.296000000002</v>
      </c>
      <c r="L54" s="560">
        <v>0.1</v>
      </c>
      <c r="M54"/>
      <c r="N54"/>
    </row>
    <row r="55" spans="1:14" s="504" customFormat="1" ht="18.75" customHeight="1">
      <c r="B55" s="556" t="s">
        <v>2680</v>
      </c>
      <c r="C55" s="557">
        <f>'Part VI-Pro Forma'!B18</f>
        <v>18384.96</v>
      </c>
      <c r="D55" s="557"/>
      <c r="E55" s="557">
        <f>$C$55</f>
        <v>18384.96</v>
      </c>
      <c r="F55" s="559"/>
      <c r="G55" s="557">
        <f>$C$55</f>
        <v>18384.96</v>
      </c>
      <c r="H55" s="557"/>
      <c r="I55" s="557">
        <f>$C$55</f>
        <v>18384.96</v>
      </c>
      <c r="J55" s="557"/>
      <c r="K55" s="557">
        <f>$C$55</f>
        <v>18384.96</v>
      </c>
      <c r="L55" s="561"/>
      <c r="M55"/>
      <c r="N55"/>
    </row>
    <row r="56" spans="1:14" s="504" customFormat="1" ht="18.75" customHeight="1">
      <c r="B56" s="562" t="s">
        <v>2682</v>
      </c>
      <c r="C56" s="563">
        <f>SUM(C52:C55)</f>
        <v>890383.61279999989</v>
      </c>
      <c r="D56" s="557"/>
      <c r="E56" s="563">
        <f>SUM(E52:E55)</f>
        <v>862254.62399999995</v>
      </c>
      <c r="F56" s="557"/>
      <c r="G56" s="563">
        <f>SUM(G52:G55)</f>
        <v>890383.61279999989</v>
      </c>
      <c r="H56" s="557"/>
      <c r="I56" s="563">
        <f>SUM(I52:I55)</f>
        <v>890383.61279999989</v>
      </c>
      <c r="J56" s="557"/>
      <c r="K56" s="563">
        <f>SUM(K52:K55)</f>
        <v>862254.62399999995</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18000</v>
      </c>
      <c r="D58" s="557"/>
      <c r="E58" s="557">
        <f>$C$58</f>
        <v>18000</v>
      </c>
      <c r="F58" s="557"/>
      <c r="G58" s="557">
        <f>$C$58</f>
        <v>18000</v>
      </c>
      <c r="H58" s="557"/>
      <c r="I58" s="557">
        <f>$C$58</f>
        <v>18000</v>
      </c>
      <c r="J58" s="557"/>
      <c r="K58" s="557">
        <f>$C$58</f>
        <v>18000</v>
      </c>
      <c r="L58" s="558"/>
      <c r="M58"/>
      <c r="N58"/>
    </row>
    <row r="59" spans="1:14" s="504" customFormat="1" ht="18.75" customHeight="1">
      <c r="B59" s="556" t="s">
        <v>2684</v>
      </c>
      <c r="C59" s="557">
        <f>+'Part V-Revenues &amp; Expenses'!F248</f>
        <v>4000</v>
      </c>
      <c r="D59" s="557"/>
      <c r="E59" s="557">
        <f>$C$59</f>
        <v>4000</v>
      </c>
      <c r="F59" s="557"/>
      <c r="G59" s="557">
        <f>$C$59</f>
        <v>4000</v>
      </c>
      <c r="H59" s="557"/>
      <c r="I59" s="557">
        <f>$C$59</f>
        <v>4000</v>
      </c>
      <c r="J59" s="557"/>
      <c r="K59" s="557">
        <f>$C$59*(1+$L$59)</f>
        <v>4160</v>
      </c>
      <c r="L59" s="564">
        <v>0.04</v>
      </c>
      <c r="M59"/>
      <c r="N59"/>
    </row>
    <row r="60" spans="1:14" s="504" customFormat="1" ht="18.75" customHeight="1">
      <c r="B60" s="556" t="s">
        <v>1295</v>
      </c>
      <c r="C60" s="557">
        <f>+'Part V-Revenues &amp; Expenses'!L241</f>
        <v>27500</v>
      </c>
      <c r="D60" s="557"/>
      <c r="E60" s="557">
        <f>$C$60</f>
        <v>27500</v>
      </c>
      <c r="F60" s="557"/>
      <c r="G60" s="557">
        <f>$C$60</f>
        <v>27500</v>
      </c>
      <c r="H60" s="557"/>
      <c r="I60" s="557">
        <f>$C$60*(1+$J$50)</f>
        <v>28325</v>
      </c>
      <c r="J60" s="559"/>
      <c r="K60" s="557">
        <f>$C$60*(1+$J$50)</f>
        <v>28325</v>
      </c>
      <c r="L60" s="560">
        <v>0.03</v>
      </c>
      <c r="M60"/>
      <c r="N60"/>
    </row>
    <row r="61" spans="1:14" s="504" customFormat="1" ht="18.75" customHeight="1">
      <c r="B61" s="556" t="s">
        <v>1296</v>
      </c>
      <c r="C61" s="557">
        <f>+'Part V-Revenues &amp; Expenses'!L248</f>
        <v>103996</v>
      </c>
      <c r="D61" s="557"/>
      <c r="E61" s="557">
        <f>$C$61</f>
        <v>103996</v>
      </c>
      <c r="F61" s="557"/>
      <c r="G61" s="557">
        <f>$C$61*(1+H50)</f>
        <v>109195.8</v>
      </c>
      <c r="H61" s="559"/>
      <c r="I61" s="557">
        <f>$C$61</f>
        <v>103996</v>
      </c>
      <c r="J61" s="557"/>
      <c r="K61" s="557">
        <f>$C$61*(1+$L$61)</f>
        <v>109195.8</v>
      </c>
      <c r="L61" s="560">
        <v>0.05</v>
      </c>
      <c r="M61"/>
      <c r="N61"/>
    </row>
    <row r="62" spans="1:14" s="504" customFormat="1" ht="18.75" customHeight="1">
      <c r="B62" s="562" t="s">
        <v>2685</v>
      </c>
      <c r="C62" s="563">
        <f>SUM(C58:C61)</f>
        <v>153496</v>
      </c>
      <c r="D62" s="557"/>
      <c r="E62" s="563">
        <f>SUM(E58:E61)</f>
        <v>153496</v>
      </c>
      <c r="F62" s="557"/>
      <c r="G62" s="563">
        <f>SUM(G58:G61)</f>
        <v>158695.79999999999</v>
      </c>
      <c r="H62" s="557"/>
      <c r="I62" s="563">
        <f>SUM(I58:I61)</f>
        <v>154321</v>
      </c>
      <c r="J62" s="557"/>
      <c r="K62" s="563">
        <f>SUM(K58:K61)</f>
        <v>159680.79999999999</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736887.61279999989</v>
      </c>
      <c r="D64" s="566"/>
      <c r="E64" s="566">
        <f>E56-E62</f>
        <v>708758.62399999995</v>
      </c>
      <c r="F64" s="566"/>
      <c r="G64" s="566">
        <f>G56-G62</f>
        <v>731687.81279999996</v>
      </c>
      <c r="H64" s="566"/>
      <c r="I64" s="566">
        <f>I56-I62</f>
        <v>736062.61279999989</v>
      </c>
      <c r="J64" s="566"/>
      <c r="K64" s="566">
        <f>K56-K62</f>
        <v>702573.82400000002</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736887.61279999989</v>
      </c>
      <c r="D70" s="566"/>
      <c r="E70" s="569">
        <f>E64-E66-E68</f>
        <v>708758.62399999995</v>
      </c>
      <c r="F70" s="566"/>
      <c r="G70" s="569">
        <f>G64-G66-G68</f>
        <v>731687.81279999996</v>
      </c>
      <c r="H70" s="566"/>
      <c r="I70" s="569">
        <f>I64-I66-I68</f>
        <v>736062.61279999989</v>
      </c>
      <c r="J70" s="566"/>
      <c r="K70" s="569">
        <f>K64-K66-K68</f>
        <v>702573.82400000002</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2.3463730719005524</v>
      </c>
      <c r="D72" s="570"/>
      <c r="E72" s="986">
        <f>-E70/E75</f>
        <v>2.2568056796501614</v>
      </c>
      <c r="F72" s="570"/>
      <c r="G72" s="986">
        <f>-G70/G75</f>
        <v>2.329816041374678</v>
      </c>
      <c r="H72" s="570"/>
      <c r="I72" s="986">
        <f>-I70/I75</f>
        <v>2.343746134290674</v>
      </c>
      <c r="J72" s="570"/>
      <c r="K72" s="986">
        <f>-K70/K75</f>
        <v>2.2371122448264318</v>
      </c>
      <c r="L72" s="4"/>
      <c r="M72" s="10"/>
      <c r="N72" s="10"/>
    </row>
    <row r="73" spans="1:14" s="504" customFormat="1" ht="18.75" customHeight="1">
      <c r="A73"/>
      <c r="B73" s="556" t="s">
        <v>2691</v>
      </c>
      <c r="C73" s="987">
        <f>C76/C62</f>
        <v>2.7546888084888361</v>
      </c>
      <c r="D73" s="571"/>
      <c r="E73" s="987">
        <f>E76/E62</f>
        <v>2.5714332917326996</v>
      </c>
      <c r="F73" s="571"/>
      <c r="G73" s="987">
        <f>G76/G62</f>
        <v>2.6316633039299244</v>
      </c>
      <c r="H73" s="571"/>
      <c r="I73" s="987">
        <f>I76/I62</f>
        <v>2.7346162437244601</v>
      </c>
      <c r="J73" s="571"/>
      <c r="K73" s="987">
        <f>K76/K62</f>
        <v>2.4331035700460077</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-314053.89945219748</v>
      </c>
      <c r="D75" s="557"/>
      <c r="E75" s="557">
        <f>$C$75</f>
        <v>-314053.89945219748</v>
      </c>
      <c r="F75" s="557"/>
      <c r="G75" s="557">
        <f>$C$75</f>
        <v>-314053.89945219748</v>
      </c>
      <c r="H75" s="557"/>
      <c r="I75" s="557">
        <f>$C$75</f>
        <v>-314053.89945219748</v>
      </c>
      <c r="J75" s="557"/>
      <c r="K75" s="557">
        <f>$C$75</f>
        <v>-314053.89945219748</v>
      </c>
      <c r="L75" s="26"/>
      <c r="M75"/>
      <c r="N75"/>
    </row>
    <row r="76" spans="1:14" s="504" customFormat="1" ht="18.75" customHeight="1">
      <c r="A76"/>
      <c r="B76" s="556" t="s">
        <v>1095</v>
      </c>
      <c r="C76" s="557">
        <f>C70+C75</f>
        <v>422833.7133478024</v>
      </c>
      <c r="D76" s="557"/>
      <c r="E76" s="557">
        <f>E70+E75</f>
        <v>394704.72454780247</v>
      </c>
      <c r="F76" s="557"/>
      <c r="G76" s="557">
        <f>G70+G75</f>
        <v>417633.91334780247</v>
      </c>
      <c r="H76" s="557"/>
      <c r="I76" s="557">
        <f>I70+I75</f>
        <v>422008.7133478024</v>
      </c>
      <c r="J76" s="557"/>
      <c r="K76" s="557">
        <f>K70+K75</f>
        <v>388519.92454780254</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3326</v>
      </c>
    </row>
    <row r="3" spans="1:7" ht="3" customHeight="1"/>
    <row r="4" spans="1:7">
      <c r="A4" s="940" t="s">
        <v>3327</v>
      </c>
      <c r="B4" s="941">
        <f>'Part III-A-Uses of Funds'!G146</f>
        <v>24123885</v>
      </c>
    </row>
    <row r="5" spans="1:7">
      <c r="A5" s="940" t="s">
        <v>3358</v>
      </c>
      <c r="B5" s="941">
        <f>+B18+B26+B38</f>
        <v>2704033.4211489516</v>
      </c>
    </row>
    <row r="6" spans="1:7">
      <c r="A6" s="940" t="s">
        <v>3328</v>
      </c>
      <c r="B6" s="942">
        <f>+B5-B4</f>
        <v>-21419851.578851048</v>
      </c>
    </row>
    <row r="7" spans="1:7">
      <c r="A7" s="940" t="s">
        <v>3329</v>
      </c>
      <c r="B7" s="943">
        <f>+B6/B4</f>
        <v>-0.8879105326049701</v>
      </c>
    </row>
    <row r="8" spans="1:7" ht="9" customHeight="1"/>
    <row r="9" spans="1:7">
      <c r="A9" s="940" t="s">
        <v>3330</v>
      </c>
      <c r="B9" s="941">
        <f>+B18+B26+B33</f>
        <v>2704033.4211489516</v>
      </c>
    </row>
    <row r="10" spans="1:7">
      <c r="A10" s="940" t="s">
        <v>3328</v>
      </c>
      <c r="B10" s="942">
        <f>+B9-B4</f>
        <v>-21419851.578851048</v>
      </c>
    </row>
    <row r="11" spans="1:7">
      <c r="A11" s="940" t="s">
        <v>3329</v>
      </c>
      <c r="B11" s="943">
        <f>+B10/B4</f>
        <v>-0.8879105326049701</v>
      </c>
    </row>
    <row r="12" spans="1:7" ht="24" customHeight="1"/>
    <row r="13" spans="1:7">
      <c r="A13" s="939" t="s">
        <v>3331</v>
      </c>
      <c r="D13" s="992" t="s">
        <v>3543</v>
      </c>
      <c r="E13" s="993"/>
    </row>
    <row r="14" spans="1:7">
      <c r="A14" s="940" t="s">
        <v>3332</v>
      </c>
      <c r="B14" s="944">
        <f ca="1">+SUM('Part II-Sources of Funds'!L51:M52)</f>
        <v>18590000</v>
      </c>
      <c r="D14" s="993"/>
      <c r="E14" s="993"/>
    </row>
    <row r="15" spans="1:7">
      <c r="A15" s="940" t="s">
        <v>3333</v>
      </c>
      <c r="B15" s="945">
        <f ca="1">+'Part III-A-Uses of Funds'!J180</f>
        <v>1864251</v>
      </c>
      <c r="D15" s="993" t="s">
        <v>1890</v>
      </c>
      <c r="G15" s="994">
        <f>'Part III-A-Uses of Funds'!J168</f>
        <v>22826339.430555556</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10856207.033172224</v>
      </c>
    </row>
    <row r="20" spans="1:7">
      <c r="A20" s="940" t="s">
        <v>3336</v>
      </c>
      <c r="B20" s="944">
        <f ca="1">+B18-B14</f>
        <v>-18590000</v>
      </c>
      <c r="D20" s="993" t="s">
        <v>3548</v>
      </c>
      <c r="G20" s="996">
        <f ca="1">+B14-G19</f>
        <v>7733792.9668277763</v>
      </c>
    </row>
    <row r="21" spans="1:7">
      <c r="A21" s="940" t="s">
        <v>3337</v>
      </c>
      <c r="B21" s="943">
        <f ca="1">+B20/B14</f>
        <v>-1</v>
      </c>
      <c r="D21" s="993" t="s">
        <v>3549</v>
      </c>
      <c r="G21" s="993" t="str">
        <f ca="1">+IF(G20&gt;(B28+B35),"No","Yes")</f>
        <v>No</v>
      </c>
    </row>
    <row r="22" spans="1:7" ht="24" customHeight="1"/>
    <row r="23" spans="1:7">
      <c r="A23" s="939" t="s">
        <v>3338</v>
      </c>
    </row>
    <row r="24" spans="1:7">
      <c r="A24" s="940" t="s">
        <v>3339</v>
      </c>
      <c r="B24" s="947">
        <f>+SUM('Part II-Sources of Funds'!I40:J43)</f>
        <v>5481375</v>
      </c>
    </row>
    <row r="25" spans="1:7">
      <c r="A25" s="940" t="s">
        <v>3340</v>
      </c>
      <c r="B25" s="948">
        <f>IF('Part II-Sources of Funds'!E6="Yes","N/A",MAX(B46:P46))</f>
        <v>13404.222118864243</v>
      </c>
    </row>
    <row r="26" spans="1:7">
      <c r="A26" s="940" t="s">
        <v>3341</v>
      </c>
      <c r="B26" s="938">
        <f>IFERROR(PV('Part II-Sources of Funds'!K40,'Part II-Sources of Funds'!L40,B25+B45),B24)</f>
        <v>2704033.4211489516</v>
      </c>
    </row>
    <row r="27" spans="1:7" ht="9" customHeight="1">
      <c r="B27" s="938"/>
    </row>
    <row r="28" spans="1:7">
      <c r="A28" s="940" t="s">
        <v>3342</v>
      </c>
      <c r="B28" s="949">
        <f>+B26-B24</f>
        <v>-2777341.5788510484</v>
      </c>
      <c r="C28" s="950"/>
    </row>
    <row r="29" spans="1:7">
      <c r="A29" s="940" t="s">
        <v>3337</v>
      </c>
      <c r="B29" s="951">
        <f>+B28/B24</f>
        <v>-0.50668702266330046</v>
      </c>
    </row>
    <row r="30" spans="1:7" ht="24" customHeight="1"/>
    <row r="31" spans="1:7">
      <c r="A31" s="939" t="s">
        <v>3272</v>
      </c>
    </row>
    <row r="32" spans="1:7">
      <c r="A32" s="940" t="s">
        <v>3343</v>
      </c>
      <c r="B32" s="952">
        <f>+'Part II-Sources of Funds'!I45</f>
        <v>52510</v>
      </c>
    </row>
    <row r="33" spans="1:11">
      <c r="A33" s="940" t="s">
        <v>3344</v>
      </c>
      <c r="B33" s="938"/>
    </row>
    <row r="34" spans="1:11" ht="9" customHeight="1">
      <c r="B34" s="938"/>
    </row>
    <row r="35" spans="1:11">
      <c r="A35" s="940" t="s">
        <v>3345</v>
      </c>
      <c r="B35" s="952">
        <f>+B33-B32</f>
        <v>-52510</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360779.61279999989</v>
      </c>
      <c r="C44" s="941">
        <f>+'Part VI-Pro Forma'!C25</f>
        <v>363533.855056</v>
      </c>
      <c r="D44" s="941">
        <f>+'Part VI-Pro Forma'!D25</f>
        <v>366202.68785711983</v>
      </c>
      <c r="E44" s="941">
        <f>+'Part VI-Pro Forma'!E25</f>
        <v>368780.6473852623</v>
      </c>
      <c r="F44" s="941">
        <f>+'Part VI-Pro Forma'!F25</f>
        <v>371262.03467709786</v>
      </c>
      <c r="G44" s="941">
        <f>+'Part VI-Pro Forma'!G25</f>
        <v>373640.90714509354</v>
      </c>
      <c r="H44" s="941">
        <f>+'Part VI-Pro Forma'!H25</f>
        <v>375909.06981568289</v>
      </c>
      <c r="I44" s="941">
        <f>+'Part VI-Pro Forma'!I25</f>
        <v>378061.06627551437</v>
      </c>
      <c r="J44" s="941">
        <f>+'Part VI-Pro Forma'!J25</f>
        <v>380088.16931644874</v>
      </c>
      <c r="K44" s="941">
        <f>+'Part VI-Pro Forma'!K25</f>
        <v>381985.37126966403</v>
      </c>
    </row>
    <row r="45" spans="1:11">
      <c r="A45" s="940" t="s">
        <v>3349</v>
      </c>
      <c r="B45" s="941">
        <f>SUM('Part VI-Pro Forma'!B26:B29)</f>
        <v>-314053.89945219748</v>
      </c>
      <c r="C45" s="941">
        <f>SUM('Part VI-Pro Forma'!C26:C29)</f>
        <v>-314686.21001619752</v>
      </c>
      <c r="D45" s="941">
        <f>SUM('Part VI-Pro Forma'!D26:D29)</f>
        <v>-315295.4807164775</v>
      </c>
      <c r="E45" s="941">
        <f>SUM('Part VI-Pro Forma'!E26:E29)</f>
        <v>-315880.29497351311</v>
      </c>
      <c r="F45" s="941">
        <f>SUM('Part VI-Pro Forma'!F26:F29)</f>
        <v>-316439.175902722</v>
      </c>
      <c r="G45" s="941">
        <f>SUM('Part VI-Pro Forma'!G26:G29)</f>
        <v>-316970.58414915839</v>
      </c>
      <c r="H45" s="941">
        <f>SUM('Part VI-Pro Forma'!H26:H29)</f>
        <v>-317472.41565012635</v>
      </c>
      <c r="I45" s="941">
        <f>SUM('Part VI-Pro Forma'!I26:I29)</f>
        <v>-317943.24932340445</v>
      </c>
      <c r="J45" s="941">
        <f>SUM('Part VI-Pro Forma'!J26:J29)</f>
        <v>-318380.84467870789</v>
      </c>
      <c r="K45" s="941">
        <f>SUM('Part VI-Pro Forma'!K26:K29)</f>
        <v>-318783.88934993371</v>
      </c>
    </row>
    <row r="46" spans="1:11">
      <c r="A46" s="940" t="s">
        <v>3350</v>
      </c>
      <c r="B46" s="942">
        <f t="shared" ref="B46:K46" si="0">-B44/B48-B45</f>
        <v>13404.222118864243</v>
      </c>
      <c r="C46" s="942">
        <f t="shared" si="0"/>
        <v>11741.330802864162</v>
      </c>
      <c r="D46" s="942">
        <f t="shared" si="0"/>
        <v>10126.574168877618</v>
      </c>
      <c r="E46" s="942">
        <f t="shared" si="0"/>
        <v>8563.0888191278209</v>
      </c>
      <c r="F46" s="942">
        <f t="shared" si="0"/>
        <v>7054.1470051404322</v>
      </c>
      <c r="G46" s="942">
        <f t="shared" si="0"/>
        <v>5603.1615282470593</v>
      </c>
      <c r="H46" s="942">
        <f t="shared" si="0"/>
        <v>4214.8574703906197</v>
      </c>
      <c r="I46" s="942">
        <f t="shared" si="0"/>
        <v>2892.3607604757999</v>
      </c>
      <c r="J46" s="942">
        <f t="shared" si="0"/>
        <v>1640.7035816672724</v>
      </c>
      <c r="K46" s="942">
        <f t="shared" si="0"/>
        <v>462.74662521365099</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360779.61279999989</v>
      </c>
      <c r="C51" s="942">
        <f t="shared" ref="C51:K51" si="2">+C44</f>
        <v>363533.855056</v>
      </c>
      <c r="D51" s="942">
        <f t="shared" si="2"/>
        <v>366202.68785711983</v>
      </c>
      <c r="E51" s="942">
        <f t="shared" si="2"/>
        <v>368780.6473852623</v>
      </c>
      <c r="F51" s="942">
        <f t="shared" si="2"/>
        <v>371262.03467709786</v>
      </c>
      <c r="G51" s="942">
        <f t="shared" si="2"/>
        <v>373640.90714509354</v>
      </c>
      <c r="H51" s="942">
        <f t="shared" si="2"/>
        <v>375909.06981568289</v>
      </c>
      <c r="I51" s="942">
        <f t="shared" si="2"/>
        <v>378061.06627551437</v>
      </c>
      <c r="J51" s="942">
        <f t="shared" si="2"/>
        <v>380088.16931644874</v>
      </c>
      <c r="K51" s="942">
        <f t="shared" si="2"/>
        <v>381985.37126966403</v>
      </c>
    </row>
    <row r="52" spans="1:17">
      <c r="A52" s="940" t="s">
        <v>3352</v>
      </c>
      <c r="B52" s="942">
        <f>IF($B$25="N/A",B45,B45+$B$25)</f>
        <v>-300649.67733333324</v>
      </c>
      <c r="C52" s="942">
        <f t="shared" ref="C52:K52" si="3">IF($B$25="N/A",C45,C45+$B$25)</f>
        <v>-301281.98789733328</v>
      </c>
      <c r="D52" s="942">
        <f t="shared" si="3"/>
        <v>-301891.25859761325</v>
      </c>
      <c r="E52" s="942">
        <f t="shared" si="3"/>
        <v>-302476.07285464887</v>
      </c>
      <c r="F52" s="942">
        <f t="shared" si="3"/>
        <v>-303034.95378385775</v>
      </c>
      <c r="G52" s="942">
        <f t="shared" si="3"/>
        <v>-303566.36203029414</v>
      </c>
      <c r="H52" s="942">
        <f t="shared" si="3"/>
        <v>-304068.19353126211</v>
      </c>
      <c r="I52" s="942">
        <f t="shared" si="3"/>
        <v>-304539.02720454021</v>
      </c>
      <c r="J52" s="942">
        <f t="shared" si="3"/>
        <v>-304976.62255984364</v>
      </c>
      <c r="K52" s="942">
        <f t="shared" si="3"/>
        <v>-305379.66723106947</v>
      </c>
    </row>
    <row r="53" spans="1:17">
      <c r="A53" s="940" t="s">
        <v>3353</v>
      </c>
      <c r="B53" s="941">
        <f>+'Part VI-Pro Forma'!B31</f>
        <v>-7500</v>
      </c>
      <c r="C53" s="941">
        <f>+'Part VI-Pro Forma'!C31</f>
        <v>-7725</v>
      </c>
      <c r="D53" s="941">
        <f>+'Part VI-Pro Forma'!D31</f>
        <v>-7956.75</v>
      </c>
      <c r="E53" s="941">
        <f>+'Part VI-Pro Forma'!E31</f>
        <v>-8195.4524999999994</v>
      </c>
      <c r="F53" s="941">
        <f>+'Part VI-Pro Forma'!F31</f>
        <v>-8441.3160749999988</v>
      </c>
      <c r="G53" s="941">
        <f>+'Part VI-Pro Forma'!G31</f>
        <v>-8694.5555572499998</v>
      </c>
      <c r="H53" s="941">
        <f>+'Part VI-Pro Forma'!H31</f>
        <v>-8955.3922239674994</v>
      </c>
      <c r="I53" s="941">
        <f>+'Part VI-Pro Forma'!I31</f>
        <v>-9224.0539906865251</v>
      </c>
      <c r="J53" s="941">
        <f>+'Part VI-Pro Forma'!J31</f>
        <v>-9500.7756104071213</v>
      </c>
      <c r="K53" s="941">
        <f>+'Part VI-Pro Forma'!K31</f>
        <v>-9785.7988787193353</v>
      </c>
    </row>
    <row r="54" spans="1:17">
      <c r="A54" s="940" t="s">
        <v>3354</v>
      </c>
      <c r="B54" s="942">
        <f>+SUM(B51:B53)</f>
        <v>52629.935466666648</v>
      </c>
      <c r="C54" s="942">
        <f t="shared" ref="C54:K54" si="4">+SUM(C51:C53)</f>
        <v>54526.867158666719</v>
      </c>
      <c r="D54" s="942">
        <f t="shared" si="4"/>
        <v>56354.679259506578</v>
      </c>
      <c r="E54" s="942">
        <f t="shared" si="4"/>
        <v>58109.122030613435</v>
      </c>
      <c r="F54" s="942">
        <f t="shared" si="4"/>
        <v>59785.764818240117</v>
      </c>
      <c r="G54" s="942">
        <f t="shared" si="4"/>
        <v>61379.989557549401</v>
      </c>
      <c r="H54" s="942">
        <f t="shared" si="4"/>
        <v>62885.48406045328</v>
      </c>
      <c r="I54" s="942">
        <f t="shared" si="4"/>
        <v>64297.985080287639</v>
      </c>
      <c r="J54" s="942">
        <f t="shared" si="4"/>
        <v>65610.771146197978</v>
      </c>
      <c r="K54" s="942">
        <f t="shared" si="4"/>
        <v>66819.905159875227</v>
      </c>
    </row>
    <row r="55" spans="1:17">
      <c r="A55" s="940" t="s">
        <v>3272</v>
      </c>
      <c r="B55" s="942">
        <f>-B54</f>
        <v>-52629.935466666648</v>
      </c>
      <c r="C55" s="942">
        <f t="shared" ref="C55:K55" si="5">-C54</f>
        <v>-54526.867158666719</v>
      </c>
      <c r="D55" s="942">
        <f t="shared" si="5"/>
        <v>-56354.679259506578</v>
      </c>
      <c r="E55" s="942">
        <f t="shared" si="5"/>
        <v>-58109.122030613435</v>
      </c>
      <c r="F55" s="942">
        <f t="shared" si="5"/>
        <v>-59785.764818240117</v>
      </c>
      <c r="G55" s="942">
        <f t="shared" si="5"/>
        <v>-61379.989557549401</v>
      </c>
      <c r="H55" s="942">
        <f t="shared" si="5"/>
        <v>-62885.48406045328</v>
      </c>
      <c r="I55" s="942">
        <f t="shared" si="5"/>
        <v>-64297.985080287639</v>
      </c>
      <c r="J55" s="942">
        <f t="shared" si="5"/>
        <v>-65610.771146197978</v>
      </c>
      <c r="K55" s="942">
        <f t="shared" si="5"/>
        <v>-66819.905159875227</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2594506.6078519183</v>
      </c>
      <c r="C58" s="941">
        <f>IF($B$26="","",-FV('Part II-Sources of Funds'!$K$40/12,12,C52/12,C26))</f>
        <v>-311425.84998424997</v>
      </c>
      <c r="D58" s="941">
        <f>IF($B$26="","",-FV('Part II-Sources of Funds'!$K$40/12,12,D52/12,D26))</f>
        <v>-312055.63421738456</v>
      </c>
      <c r="E58" s="941">
        <f>IF($B$26="","",-FV('Part II-Sources of Funds'!$K$40/12,12,E52/12,E26))</f>
        <v>-312660.13858338166</v>
      </c>
      <c r="F58" s="941">
        <f>IF($B$26="","",-FV('Part II-Sources of Funds'!$K$40/12,12,F52/12,F26))</f>
        <v>-313237.8364724376</v>
      </c>
      <c r="G58" s="941">
        <f>IF($B$26="","",-FV('Part II-Sources of Funds'!$K$40/12,12,G52/12,G26))</f>
        <v>-313787.13670107088</v>
      </c>
      <c r="H58" s="941">
        <f>IF($B$26="","",-FV('Part II-Sources of Funds'!$K$40/12,12,H52/12,H26))</f>
        <v>-314305.8643649068</v>
      </c>
      <c r="I58" s="941">
        <f>IF($B$26="","",-FV('Part II-Sources of Funds'!$K$40/12,12,I52/12,I26))</f>
        <v>-314792.55053531204</v>
      </c>
      <c r="J58" s="941">
        <f>IF($B$26="","",-FV('Part II-Sources of Funds'!$K$40/12,12,J52/12,J26))</f>
        <v>-315244.87928694312</v>
      </c>
      <c r="K58" s="941">
        <f>IF($B$26="","",-FV('Part II-Sources of Funds'!$K$40/12,12,K52/12,K26))</f>
        <v>-315661.49406764784</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383742.37401895039</v>
      </c>
      <c r="C64" s="941">
        <f>+'Part VI-Pro Forma'!C57</f>
        <v>385351.57868293882</v>
      </c>
      <c r="D64" s="941">
        <f>+'Part VI-Pro Forma'!D57</f>
        <v>386806.07495571597</v>
      </c>
      <c r="E64" s="941">
        <f>+'Part VI-Pro Forma'!E57</f>
        <v>388095.63009492221</v>
      </c>
      <c r="F64" s="941">
        <f>+'Part VI-Pro Forma'!F57</f>
        <v>389210.67754611507</v>
      </c>
      <c r="G64" s="941">
        <f>+'Part VI-Pro Forma'!G57</f>
        <v>385144.30519180989</v>
      </c>
      <c r="H64" s="941">
        <f>+'Part VI-Pro Forma'!H57</f>
        <v>385884.24321326299</v>
      </c>
      <c r="I64" s="941">
        <f>+'Part VI-Pro Forma'!I57</f>
        <v>386420.85155267298</v>
      </c>
      <c r="J64" s="941">
        <f>+'Part VI-Pro Forma'!J57</f>
        <v>386744.10696312558</v>
      </c>
      <c r="K64" s="941">
        <f>+'Part VI-Pro Forma'!K57</f>
        <v>386842.58963316935</v>
      </c>
    </row>
    <row r="65" spans="1:11">
      <c r="A65" s="940" t="s">
        <v>3349</v>
      </c>
      <c r="B65" s="941">
        <f>SUM('Part VI-Pro Forma'!B58:B61)</f>
        <v>-319149.74654566485</v>
      </c>
      <c r="C65" s="941">
        <f>SUM('Part VI-Pro Forma'!C58:C61)</f>
        <v>-319476.45241532387</v>
      </c>
      <c r="D65" s="941">
        <f>SUM('Part VI-Pro Forma'!D58:D61)</f>
        <v>-319762.21332828992</v>
      </c>
      <c r="E65" s="941">
        <f>SUM('Part VI-Pro Forma'!E58:E61)</f>
        <v>-320004.40306320635</v>
      </c>
      <c r="F65" s="941">
        <f>SUM('Part VI-Pro Forma'!F58:F61)</f>
        <v>-320200.55990462296</v>
      </c>
      <c r="G65" s="941">
        <f>SUM('Part VI-Pro Forma'!G58:G61)</f>
        <v>-319098.88364402356</v>
      </c>
      <c r="H65" s="941">
        <f>SUM('Part VI-Pro Forma'!H58:H61)</f>
        <v>-319196.23248220305</v>
      </c>
      <c r="I65" s="941">
        <f>SUM('Part VI-Pro Forma'!I58:I61)</f>
        <v>-319240.11982985621</v>
      </c>
      <c r="J65" s="941">
        <f>SUM('Part VI-Pro Forma'!J58:J61)</f>
        <v>-319227.96100315405</v>
      </c>
      <c r="K65" s="941">
        <f>SUM('Part VI-Pro Forma'!K58:K61)</f>
        <v>-319156.81981097028</v>
      </c>
    </row>
    <row r="66" spans="1:11">
      <c r="A66" s="940" t="s">
        <v>3350</v>
      </c>
      <c r="B66" s="942">
        <f t="shared" ref="B66:K66" si="7">-B64/B68-B65</f>
        <v>-635.56513679382624</v>
      </c>
      <c r="C66" s="942">
        <f t="shared" si="7"/>
        <v>-1649.8631537918118</v>
      </c>
      <c r="D66" s="942">
        <f t="shared" si="7"/>
        <v>-2576.1824681400904</v>
      </c>
      <c r="E66" s="942">
        <f t="shared" si="7"/>
        <v>-3408.6220158954966</v>
      </c>
      <c r="F66" s="942">
        <f t="shared" si="7"/>
        <v>-4141.6713838062715</v>
      </c>
      <c r="G66" s="942">
        <f t="shared" si="7"/>
        <v>-1854.7040158180171</v>
      </c>
      <c r="H66" s="942">
        <f t="shared" si="7"/>
        <v>-2373.970195516129</v>
      </c>
      <c r="I66" s="942">
        <f t="shared" si="7"/>
        <v>-2777.2564640379278</v>
      </c>
      <c r="J66" s="942">
        <f t="shared" si="7"/>
        <v>-3058.7947994506103</v>
      </c>
      <c r="K66" s="942">
        <f t="shared" si="7"/>
        <v>-3212.0048833375331</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383742.37401895039</v>
      </c>
      <c r="C71" s="942">
        <f t="shared" si="9"/>
        <v>385351.57868293882</v>
      </c>
      <c r="D71" s="942">
        <f t="shared" si="9"/>
        <v>386806.07495571597</v>
      </c>
      <c r="E71" s="942">
        <f t="shared" si="9"/>
        <v>388095.63009492221</v>
      </c>
      <c r="F71" s="942">
        <f t="shared" si="9"/>
        <v>389210.67754611507</v>
      </c>
      <c r="G71" s="942">
        <f t="shared" si="9"/>
        <v>385144.30519180989</v>
      </c>
      <c r="H71" s="942">
        <f>+H64</f>
        <v>385884.24321326299</v>
      </c>
      <c r="I71" s="942">
        <f>+I64</f>
        <v>386420.85155267298</v>
      </c>
      <c r="J71" s="942">
        <f>+J64</f>
        <v>386744.10696312558</v>
      </c>
      <c r="K71" s="942">
        <f>+K64</f>
        <v>386842.58963316935</v>
      </c>
    </row>
    <row r="72" spans="1:11">
      <c r="A72" s="940" t="s">
        <v>3352</v>
      </c>
      <c r="B72" s="942">
        <f t="shared" ref="B72:G72" si="10">IF($B$25="N/A",B65,B65+$B$25)</f>
        <v>-305745.52442680061</v>
      </c>
      <c r="C72" s="942">
        <f t="shared" si="10"/>
        <v>-306072.23029645963</v>
      </c>
      <c r="D72" s="942">
        <f t="shared" si="10"/>
        <v>-306357.99120942567</v>
      </c>
      <c r="E72" s="942">
        <f t="shared" si="10"/>
        <v>-306600.18094434211</v>
      </c>
      <c r="F72" s="942">
        <f t="shared" si="10"/>
        <v>-306796.33778575872</v>
      </c>
      <c r="G72" s="942">
        <f t="shared" si="10"/>
        <v>-305694.66152515932</v>
      </c>
      <c r="H72" s="942">
        <f>IF($B$25="N/A",H65,H65+$B$25)</f>
        <v>-305792.01036333881</v>
      </c>
      <c r="I72" s="942">
        <f>IF($B$25="N/A",I65,I65+$B$25)</f>
        <v>-305835.89771099197</v>
      </c>
      <c r="J72" s="942">
        <f>IF($B$25="N/A",J65,J65+$B$25)</f>
        <v>-305823.73888428981</v>
      </c>
      <c r="K72" s="942">
        <f>IF($B$25="N/A",K65,K65+$B$25)</f>
        <v>-305752.59769210604</v>
      </c>
    </row>
    <row r="73" spans="1:11">
      <c r="A73" s="940" t="s">
        <v>3353</v>
      </c>
      <c r="B73" s="941">
        <f>+'Part VI-Pro Forma'!B63</f>
        <v>-10079.372845080916</v>
      </c>
      <c r="C73" s="941">
        <f>+'Part VI-Pro Forma'!C63</f>
        <v>-10381.754030433343</v>
      </c>
      <c r="D73" s="941">
        <f>+'Part VI-Pro Forma'!D63</f>
        <v>-10693.206651346343</v>
      </c>
      <c r="E73" s="941">
        <f>+'Part VI-Pro Forma'!E63</f>
        <v>-11014.002850886734</v>
      </c>
      <c r="F73" s="941">
        <f>+'Part VI-Pro Forma'!F63</f>
        <v>-11344.422936413337</v>
      </c>
      <c r="G73" s="941">
        <f>+'Part VI-Pro Forma'!G63</f>
        <v>-11684.755624505737</v>
      </c>
      <c r="H73" s="941">
        <f>+'Part VI-Pro Forma'!H63</f>
        <v>-12035.298293240909</v>
      </c>
      <c r="I73" s="941">
        <f>+'Part VI-Pro Forma'!I63</f>
        <v>-12396.357242038137</v>
      </c>
      <c r="J73" s="941">
        <f>+'Part VI-Pro Forma'!J63</f>
        <v>-12768.247959299282</v>
      </c>
      <c r="K73" s="941">
        <f>+'Part VI-Pro Forma'!K63</f>
        <v>-13151.29539807826</v>
      </c>
    </row>
    <row r="74" spans="1:11">
      <c r="A74" s="940" t="s">
        <v>3354</v>
      </c>
      <c r="B74" s="942">
        <f t="shared" ref="B74:G74" si="11">+SUM(B71:B73)</f>
        <v>67917.476747068868</v>
      </c>
      <c r="C74" s="942">
        <f t="shared" si="11"/>
        <v>68897.594356045855</v>
      </c>
      <c r="D74" s="942">
        <f t="shared" si="11"/>
        <v>69754.877094943949</v>
      </c>
      <c r="E74" s="942">
        <f t="shared" si="11"/>
        <v>70481.446299693358</v>
      </c>
      <c r="F74" s="942">
        <f t="shared" si="11"/>
        <v>71069.916823943015</v>
      </c>
      <c r="G74" s="942">
        <f t="shared" si="11"/>
        <v>67764.888042144841</v>
      </c>
      <c r="H74" s="942">
        <f>+SUM(H71:H73)</f>
        <v>68056.934556683278</v>
      </c>
      <c r="I74" s="942">
        <f>+SUM(I71:I73)</f>
        <v>68188.596599642871</v>
      </c>
      <c r="J74" s="942">
        <f>+SUM(J71:J73)</f>
        <v>68152.120119536499</v>
      </c>
      <c r="K74" s="942">
        <f>+SUM(K71:K73)</f>
        <v>67938.696542985053</v>
      </c>
    </row>
    <row r="75" spans="1:11">
      <c r="A75" s="940" t="s">
        <v>3272</v>
      </c>
      <c r="B75" s="942">
        <f t="shared" ref="B75:G75" si="12">-B74</f>
        <v>-67917.476747068868</v>
      </c>
      <c r="C75" s="942">
        <f t="shared" si="12"/>
        <v>-68897.594356045855</v>
      </c>
      <c r="D75" s="942">
        <f t="shared" si="12"/>
        <v>-69754.877094943949</v>
      </c>
      <c r="E75" s="942">
        <f t="shared" si="12"/>
        <v>-70481.446299693358</v>
      </c>
      <c r="F75" s="942">
        <f t="shared" si="12"/>
        <v>-71069.916823943015</v>
      </c>
      <c r="G75" s="942">
        <f t="shared" si="12"/>
        <v>-67764.888042144841</v>
      </c>
      <c r="H75" s="942">
        <f>-H74</f>
        <v>-68056.934556683278</v>
      </c>
      <c r="I75" s="942">
        <f>-I74</f>
        <v>-68188.596599642871</v>
      </c>
      <c r="J75" s="942">
        <f>-J74</f>
        <v>-68152.120119536499</v>
      </c>
      <c r="K75" s="942">
        <f>-K74</f>
        <v>-67938.696542985053</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-655194.00735338079</v>
      </c>
      <c r="C78" s="941">
        <f>IF($B$26="","",-FV('Part II-Sources of Funds'!$K$40/12,12,C72/12,L58))</f>
        <v>-316377.37503621186</v>
      </c>
      <c r="D78" s="941">
        <f>IF($B$26="","",-FV('Part II-Sources of Funds'!$K$40/12,12,D72/12,M58))</f>
        <v>-316672.75723225286</v>
      </c>
      <c r="E78" s="941">
        <f>IF($B$26="","",-FV('Part II-Sources of Funds'!$K$40/12,12,E72/12,N58))</f>
        <v>-316923.10125241883</v>
      </c>
      <c r="F78" s="941">
        <f>IF($B$26="","",-FV('Part II-Sources of Funds'!$K$40/12,12,F72/12,O58))</f>
        <v>-317125.86249777151</v>
      </c>
      <c r="G78" s="941">
        <f>IF($B$26="","",-FV('Part II-Sources of Funds'!$K$40/12,12,G72/12,P58))</f>
        <v>-315987.09390340885</v>
      </c>
      <c r="H78" s="941">
        <f>IF($B$26="","",-FV('Part II-Sources of Funds'!$K$40/12,12,H72/12,Q58))</f>
        <v>-316087.720379245</v>
      </c>
      <c r="I78" s="941">
        <f>IF($B$26="","",-FV('Part II-Sources of Funds'!$K$40/12,12,I72/12,R58))</f>
        <v>-316133.08536983683</v>
      </c>
      <c r="J78" s="941">
        <f>IF($B$26="","",-FV('Part II-Sources of Funds'!$K$40/12,12,J72/12,S58))</f>
        <v>-316120.51716764539</v>
      </c>
      <c r="K78" s="941">
        <f>IF($B$26="","",-FV('Part II-Sources of Funds'!$K$40/12,12,K72/12,T58))</f>
        <v>-316046.98072293669</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Wesley Square</v>
      </c>
    </row>
    <row r="2" spans="1:15" ht="13.5" customHeight="1"/>
    <row r="3" spans="1:15" ht="13.5" customHeight="1">
      <c r="A3" s="514" t="s">
        <v>2698</v>
      </c>
      <c r="C3" s="513" t="s">
        <v>2699</v>
      </c>
      <c r="E3" s="575">
        <f>SUM('Part III-A-Uses of Funds'!J162,'Part III-A-Uses of Funds'!M162,'Part III-A-Uses of Funds'!P162)</f>
        <v>21797035</v>
      </c>
      <c r="F3" s="1003" t="s">
        <v>2700</v>
      </c>
      <c r="H3" s="988">
        <v>27.5</v>
      </c>
      <c r="I3" s="513" t="s">
        <v>2267</v>
      </c>
      <c r="K3" s="518" t="s">
        <v>2721</v>
      </c>
      <c r="M3" s="1003"/>
      <c r="O3" s="576"/>
    </row>
    <row r="4" spans="1:15" ht="13.5" customHeight="1">
      <c r="C4" s="513" t="s">
        <v>3042</v>
      </c>
      <c r="E4" s="575">
        <f>SUM('Part III-A-Uses of Funds'!G97:H101)</f>
        <v>73414</v>
      </c>
      <c r="F4" s="1003" t="s">
        <v>3540</v>
      </c>
      <c r="H4" s="514">
        <f>'Part II-Sources of Funds'!M40</f>
        <v>35</v>
      </c>
      <c r="I4" s="513" t="s">
        <v>2267</v>
      </c>
      <c r="K4" s="577" t="s">
        <v>2890</v>
      </c>
      <c r="M4" s="1003"/>
    </row>
    <row r="5" spans="1:15" ht="13.5" customHeight="1">
      <c r="C5" s="513" t="s">
        <v>3043</v>
      </c>
      <c r="E5" s="575">
        <f>SUM('Part III-A-Uses of Funds'!G105:H111)</f>
        <v>179600</v>
      </c>
      <c r="F5" s="1003" t="s">
        <v>3539</v>
      </c>
      <c r="H5" s="988">
        <v>15</v>
      </c>
      <c r="I5" s="513" t="s">
        <v>2267</v>
      </c>
      <c r="K5" s="576">
        <f ca="1">-E6</f>
        <v>-18590000</v>
      </c>
    </row>
    <row r="6" spans="1:15" ht="13.5" customHeight="1">
      <c r="C6" s="513" t="s">
        <v>2701</v>
      </c>
      <c r="E6" s="578">
        <f ca="1">'Part II-Sources of Funds'!$I$51+'Part II-Sources of Funds'!$I$52</f>
        <v>18590000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39225.713347802404</v>
      </c>
      <c r="D9" s="583">
        <f>'Part VI-Pro Forma'!C33</f>
        <v>41122.64503980249</v>
      </c>
      <c r="E9" s="583">
        <f>'Part VI-Pro Forma'!D33</f>
        <v>42950.457140642364</v>
      </c>
      <c r="F9" s="583">
        <f>'Part VI-Pro Forma'!E33</f>
        <v>44704.89991174922</v>
      </c>
      <c r="G9" s="583">
        <f>'Part VI-Pro Forma'!F33</f>
        <v>46381.542699375888</v>
      </c>
      <c r="H9" s="583">
        <f>'Part VI-Pro Forma'!G33</f>
        <v>47975.767438685143</v>
      </c>
      <c r="I9" s="583">
        <f>'Part VI-Pro Forma'!H33</f>
        <v>49481.261941589022</v>
      </c>
      <c r="K9" s="576" t="e">
        <f>F24</f>
        <v>#VALUE!</v>
      </c>
      <c r="N9" s="584" t="s">
        <v>2707</v>
      </c>
    </row>
    <row r="10" spans="1:15" ht="13.5" customHeight="1">
      <c r="A10" s="513" t="s">
        <v>2706</v>
      </c>
      <c r="C10" s="962">
        <f>'Part II-Sources of Funds'!I40-'Part VI-Pro Forma'!B40</f>
        <v>25221.173784114886</v>
      </c>
      <c r="D10" s="585">
        <f>'Part VI-Pro Forma'!B40-'Part VI-Pro Forma'!C40</f>
        <v>27098.238651967607</v>
      </c>
      <c r="E10" s="585">
        <f>'Part VI-Pro Forma'!C40-'Part VI-Pro Forma'!D40</f>
        <v>29115.002510370687</v>
      </c>
      <c r="F10" s="585">
        <f>'Part VI-Pro Forma'!D40-'Part VI-Pro Forma'!E40</f>
        <v>31281.862340426538</v>
      </c>
      <c r="G10" s="585">
        <f>'Part VI-Pro Forma'!E40-'Part VI-Pro Forma'!F40</f>
        <v>33609.988909904845</v>
      </c>
      <c r="H10" s="585">
        <f>'Part VI-Pro Forma'!F40-'Part VI-Pro Forma'!G40</f>
        <v>36111.384361667559</v>
      </c>
      <c r="I10" s="585">
        <f>'Part VI-Pro Forma'!G40-'Part VI-Pro Forma'!H40</f>
        <v>38798.944088071119</v>
      </c>
      <c r="K10" s="576" t="e">
        <f>G24</f>
        <v>#VALUE!</v>
      </c>
      <c r="N10" s="584" t="s">
        <v>2708</v>
      </c>
      <c r="O10" s="581"/>
    </row>
    <row r="11" spans="1:15" ht="13.5" customHeight="1">
      <c r="A11" s="513" t="s">
        <v>2706</v>
      </c>
      <c r="C11" s="962">
        <f>'Part II-Sources of Funds'!I41-'Part VI-Pro Forma'!B41</f>
        <v>-62844.587747786893</v>
      </c>
      <c r="D11" s="585">
        <f>'Part VI-Pro Forma'!B41-'Part VI-Pro Forma'!C41</f>
        <v>-65118.742667755112</v>
      </c>
      <c r="E11" s="585">
        <f>'Part VI-Pro Forma'!C41-'Part VI-Pro Forma'!D41</f>
        <v>-67522.083474448416</v>
      </c>
      <c r="F11" s="585">
        <f>'Part VI-Pro Forma'!D41-'Part VI-Pro Forma'!E41</f>
        <v>-70062.058765884954</v>
      </c>
      <c r="G11" s="585">
        <f>'Part VI-Pro Forma'!E41-'Part VI-Pro Forma'!F41</f>
        <v>-72746.524787798757</v>
      </c>
      <c r="H11" s="585">
        <f>'Part VI-Pro Forma'!F41-'Part VI-Pro Forma'!G41</f>
        <v>-75583.766584380995</v>
      </c>
      <c r="I11" s="585">
        <f>'Part VI-Pro Forma'!G41-'Part VI-Pro Forma'!H41</f>
        <v>-78583.03076530993</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-21600</v>
      </c>
      <c r="D13" s="963">
        <f>'Part VI-Pro Forma'!C23</f>
        <v>-22248</v>
      </c>
      <c r="E13" s="963">
        <f>'Part VI-Pro Forma'!D23</f>
        <v>-22915.439999999999</v>
      </c>
      <c r="F13" s="963">
        <f>'Part VI-Pro Forma'!E23</f>
        <v>-23602.903200000001</v>
      </c>
      <c r="G13" s="963">
        <f>'Part VI-Pro Forma'!F23</f>
        <v>-24310.990296</v>
      </c>
      <c r="H13" s="963">
        <f>'Part VI-Pro Forma'!G23</f>
        <v>-25040.320004879995</v>
      </c>
      <c r="I13" s="963">
        <f>'Part VI-Pro Forma'!H23</f>
        <v>-25791.529605026397</v>
      </c>
      <c r="K13" s="576" t="e">
        <f>C44</f>
        <v>#VALUE!</v>
      </c>
      <c r="O13" s="581"/>
    </row>
    <row r="14" spans="1:15" ht="13.5" customHeight="1">
      <c r="A14" s="587" t="s">
        <v>3045</v>
      </c>
      <c r="B14" s="587"/>
      <c r="C14" s="963">
        <f>'Part VI-Pro Forma'!B32</f>
        <v>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792619.45454545459</v>
      </c>
      <c r="D15" s="588">
        <f t="shared" si="0"/>
        <v>792619.45454545459</v>
      </c>
      <c r="E15" s="588">
        <f t="shared" si="0"/>
        <v>792619.45454545459</v>
      </c>
      <c r="F15" s="588">
        <f t="shared" si="0"/>
        <v>792619.45454545459</v>
      </c>
      <c r="G15" s="588">
        <f t="shared" si="0"/>
        <v>792619.45454545459</v>
      </c>
      <c r="H15" s="588">
        <f t="shared" si="0"/>
        <v>792619.45454545459</v>
      </c>
      <c r="I15" s="588">
        <f t="shared" si="0"/>
        <v>792619.45454545459</v>
      </c>
      <c r="K15" s="576" t="e">
        <f>E44</f>
        <v>#VALUE!</v>
      </c>
      <c r="O15" s="581"/>
    </row>
    <row r="16" spans="1:15" ht="13.5" customHeight="1">
      <c r="A16" s="513" t="s">
        <v>2711</v>
      </c>
      <c r="C16" s="588">
        <f>IF(C$8&lt;=$H$4,($E$4/$H$4),0)+IF(C$8&lt;=$H$5,($E$5/$H$5),0)</f>
        <v>14070.87619047619</v>
      </c>
      <c r="D16" s="588">
        <f t="shared" ref="D16:I16" si="1">IF(D$8&lt;=$H$4,($E$4/$H$4),0)+IF(D$8&lt;=$H$5,($E$5/$H$5),0)</f>
        <v>14070.87619047619</v>
      </c>
      <c r="E16" s="588">
        <f t="shared" si="1"/>
        <v>14070.87619047619</v>
      </c>
      <c r="F16" s="588">
        <f t="shared" si="1"/>
        <v>14070.87619047619</v>
      </c>
      <c r="G16" s="588">
        <f t="shared" si="1"/>
        <v>14070.87619047619</v>
      </c>
      <c r="H16" s="588">
        <f t="shared" si="1"/>
        <v>14070.87619047619</v>
      </c>
      <c r="I16" s="588">
        <f t="shared" si="1"/>
        <v>14070.87619047619</v>
      </c>
      <c r="K16" s="576" t="e">
        <f>F44</f>
        <v>#VALUE!</v>
      </c>
      <c r="M16" s="513" t="s">
        <v>2715</v>
      </c>
      <c r="O16" s="581">
        <f>E3</f>
        <v>21797035</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15852389.090909092</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5944645.9090909082</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 ca="1">'Part III-A-Uses of Funds'!$J$191</f>
        <v>1300000</v>
      </c>
      <c r="D21" s="589">
        <f t="shared" ref="D21:I21" ca="1" si="5">C21</f>
        <v>1300000</v>
      </c>
      <c r="E21" s="589">
        <f t="shared" ca="1" si="5"/>
        <v>1300000</v>
      </c>
      <c r="F21" s="589">
        <f t="shared" ca="1" si="5"/>
        <v>1300000</v>
      </c>
      <c r="G21" s="589">
        <f t="shared" ca="1" si="5"/>
        <v>1300000</v>
      </c>
      <c r="H21" s="589">
        <f t="shared" ca="1" si="5"/>
        <v>1300000</v>
      </c>
      <c r="I21" s="589">
        <f t="shared" ca="1" si="5"/>
        <v>1300000</v>
      </c>
      <c r="J21" s="513" t="s">
        <v>233</v>
      </c>
      <c r="K21" s="576" t="e">
        <f>D64</f>
        <v>#VALUE!</v>
      </c>
      <c r="O21" s="581"/>
    </row>
    <row r="22" spans="1:17" ht="13.5" customHeight="1">
      <c r="A22" s="513" t="s">
        <v>2718</v>
      </c>
      <c r="C22" s="589">
        <f ca="1">C21</f>
        <v>1300000</v>
      </c>
      <c r="D22" s="589">
        <f t="shared" ref="D22:I22" ca="1" si="6">D21</f>
        <v>1300000</v>
      </c>
      <c r="E22" s="589">
        <f t="shared" ca="1" si="6"/>
        <v>1300000</v>
      </c>
      <c r="F22" s="589">
        <f t="shared" ca="1" si="6"/>
        <v>1300000</v>
      </c>
      <c r="G22" s="589">
        <f t="shared" ca="1" si="6"/>
        <v>1300000</v>
      </c>
      <c r="H22" s="589">
        <f t="shared" ca="1" si="6"/>
        <v>1300000</v>
      </c>
      <c r="I22" s="589">
        <f t="shared" ca="1" si="6"/>
        <v>1300000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5944645.9090909082</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-5944645.9090909082</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50893.762961423381</v>
      </c>
      <c r="D29" s="583">
        <f>'Part VI-Pro Forma'!J33</f>
        <v>52206.549027333698</v>
      </c>
      <c r="E29" s="583">
        <f>'Part VI-Pro Forma'!K33</f>
        <v>53415.683041011012</v>
      </c>
      <c r="F29" s="583">
        <f>'Part VI-Pro Forma'!B65</f>
        <v>54513.254628204595</v>
      </c>
      <c r="G29" s="583">
        <f>'Part VI-Pro Forma'!C65</f>
        <v>55493.372237181604</v>
      </c>
      <c r="H29" s="583">
        <f>'Part VI-Pro Forma'!D65</f>
        <v>56350.654976079713</v>
      </c>
      <c r="I29" s="583">
        <f>'Part VI-Pro Forma'!E65</f>
        <v>57077.224180829093</v>
      </c>
      <c r="N29" s="592"/>
      <c r="O29" s="592"/>
    </row>
    <row r="30" spans="1:17" ht="13.5" customHeight="1">
      <c r="A30" s="513" t="s">
        <v>2706</v>
      </c>
      <c r="C30" s="585">
        <f>'Part VI-Pro Forma'!H40-'Part VI-Pro Forma'!I40</f>
        <v>41686.523210315499</v>
      </c>
      <c r="D30" s="585">
        <f>'Part VI-Pro Forma'!I40-'Part VI-Pro Forma'!J40</f>
        <v>44789.008005463518</v>
      </c>
      <c r="E30" s="585">
        <f>'Part VI-Pro Forma'!J40-'Part VI-Pro Forma'!K40</f>
        <v>48122.392649360932</v>
      </c>
      <c r="F30" s="960">
        <f>'Part VI-Pro Forma'!K40-'Part VI-Pro Forma'!B72</f>
        <v>51703.861671077553</v>
      </c>
      <c r="G30" s="960">
        <f>'Part VI-Pro Forma'!B72-'Part VI-Pro Forma'!C72</f>
        <v>55551.878543956671</v>
      </c>
      <c r="H30" s="960">
        <f>'Part VI-Pro Forma'!C72-'Part VI-Pro Forma'!D72</f>
        <v>59686.280869980343</v>
      </c>
      <c r="I30" s="960">
        <f>'Part VI-Pro Forma'!D72-'Part VI-Pro Forma'!E72</f>
        <v>64128.382648145314</v>
      </c>
    </row>
    <row r="31" spans="1:17" ht="13.5" customHeight="1">
      <c r="A31" s="513" t="s">
        <v>2706</v>
      </c>
      <c r="C31" s="585">
        <f>'Part VI-Pro Forma'!H41-'Part VI-Pro Forma'!I41</f>
        <v>-81753.296141603962</v>
      </c>
      <c r="D31" s="585">
        <f>'Part VI-Pro Forma'!I41-'Part VI-Pro Forma'!J41</f>
        <v>-85104.795402424876</v>
      </c>
      <c r="E31" s="585">
        <f>'Part VI-Pro Forma'!J41-'Part VI-Pro Forma'!K41</f>
        <v>-88647.288931331132</v>
      </c>
      <c r="F31" s="960">
        <f>'Part VI-Pro Forma'!K41-'Part VI-Pro Forma'!B73</f>
        <v>-92392.342985852621</v>
      </c>
      <c r="G31" s="960">
        <f>'Part VI-Pro Forma'!B73-'Part VI-Pro Forma'!C73</f>
        <v>-96351.374049596488</v>
      </c>
      <c r="H31" s="960">
        <f>'Part VI-Pro Forma'!C73-'Part VI-Pro Forma'!D73</f>
        <v>-100536.15521195671</v>
      </c>
      <c r="I31" s="960">
        <f>'Part VI-Pro Forma'!D73-'Part VI-Pro Forma'!E73</f>
        <v>-104959.85672642011</v>
      </c>
      <c r="K31" s="513" t="s">
        <v>233</v>
      </c>
      <c r="M31" s="513" t="s">
        <v>2725</v>
      </c>
      <c r="O31" s="583">
        <f>O25*O27</f>
        <v>-1188929.1818181816</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-26565.275493177192</v>
      </c>
      <c r="D33" s="963">
        <f>'Part VI-Pro Forma'!J23</f>
        <v>-27362.233757972503</v>
      </c>
      <c r="E33" s="963">
        <f>'Part VI-Pro Forma'!K23</f>
        <v>-28183.100770711681</v>
      </c>
      <c r="F33" s="963">
        <f>'Part VI-Pro Forma'!B55</f>
        <v>-29028.593793833032</v>
      </c>
      <c r="G33" s="963">
        <f>'Part VI-Pro Forma'!C55</f>
        <v>-29899.451607648021</v>
      </c>
      <c r="H33" s="963">
        <f>'Part VI-Pro Forma'!D55</f>
        <v>-30796.435155877458</v>
      </c>
      <c r="I33" s="963">
        <f>'Part VI-Pro Forma'!E55</f>
        <v>-31720.32821055378</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792619.45454545459</v>
      </c>
      <c r="D35" s="588">
        <f t="shared" si="8"/>
        <v>792619.45454545459</v>
      </c>
      <c r="E35" s="588">
        <f t="shared" si="8"/>
        <v>792619.45454545459</v>
      </c>
      <c r="F35" s="588">
        <f t="shared" si="8"/>
        <v>792619.45454545459</v>
      </c>
      <c r="G35" s="588">
        <f t="shared" si="8"/>
        <v>792619.45454545459</v>
      </c>
      <c r="H35" s="588">
        <f t="shared" si="8"/>
        <v>792619.45454545459</v>
      </c>
      <c r="I35" s="588">
        <f t="shared" si="8"/>
        <v>792619.45454545459</v>
      </c>
    </row>
    <row r="36" spans="1:15" ht="13.5" customHeight="1">
      <c r="A36" s="513" t="s">
        <v>2711</v>
      </c>
      <c r="C36" s="583">
        <f>IF(C$28&lt;=$H$4,($E$4/$H$4),0)+IF(C$28&lt;=$H$5,($E$5/$H$5),0)</f>
        <v>14070.87619047619</v>
      </c>
      <c r="D36" s="583">
        <f t="shared" ref="D36:I36" si="9">IF(D$28&lt;=$H$4,($E$4/$H$4),0)+IF(D$28&lt;=$H$5,($E$5/$H$5),0)</f>
        <v>14070.87619047619</v>
      </c>
      <c r="E36" s="583">
        <f t="shared" si="9"/>
        <v>14070.87619047619</v>
      </c>
      <c r="F36" s="583">
        <f t="shared" si="9"/>
        <v>14070.87619047619</v>
      </c>
      <c r="G36" s="583">
        <f t="shared" si="9"/>
        <v>14070.87619047619</v>
      </c>
      <c r="H36" s="583">
        <f t="shared" si="9"/>
        <v>14070.87619047619</v>
      </c>
      <c r="I36" s="583">
        <f t="shared" si="9"/>
        <v>14070.87619047619</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 ca="1">C21</f>
        <v>1300000</v>
      </c>
      <c r="D41" s="589">
        <f ca="1">C41</f>
        <v>1300000</v>
      </c>
      <c r="E41" s="589">
        <f ca="1">D41</f>
        <v>1300000</v>
      </c>
      <c r="F41" s="589">
        <v>0</v>
      </c>
      <c r="G41" s="589">
        <v>0</v>
      </c>
      <c r="H41" s="589">
        <v>0</v>
      </c>
      <c r="I41" s="589">
        <v>0</v>
      </c>
    </row>
    <row r="42" spans="1:15" ht="13.5" customHeight="1">
      <c r="A42" s="513" t="s">
        <v>2718</v>
      </c>
      <c r="C42" s="589">
        <f ca="1">C22</f>
        <v>1300000</v>
      </c>
      <c r="D42" s="589">
        <f ca="1">C42</f>
        <v>1300000</v>
      </c>
      <c r="E42" s="589">
        <f ca="1">D42</f>
        <v>1300000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57665.694705078786</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68901.084154086653</v>
      </c>
      <c r="D50" s="961">
        <f>'Part VI-Pro Forma'!F72-'Part VI-Pro Forma'!G72</f>
        <v>74028.989997392986</v>
      </c>
      <c r="E50" s="961">
        <f>'Part VI-Pro Forma'!G72-'Part VI-Pro Forma'!H72</f>
        <v>79538.53596524382</v>
      </c>
      <c r="F50" s="961">
        <f>'Part VI-Pro Forma'!H72-'Part VI-Pro Forma'!I72</f>
        <v>85458.125306277536</v>
      </c>
      <c r="G50" s="961">
        <f>'Part VI-Pro Forma'!I72-'Part VI-Pro Forma'!J72</f>
        <v>91818.275157272816</v>
      </c>
      <c r="H50" s="961">
        <f>'Part VI-Pro Forma'!J72-'Part VI-Pro Forma'!K72</f>
        <v>98651.773867515847</v>
      </c>
    </row>
    <row r="51" spans="1:10" ht="13.5" customHeight="1">
      <c r="A51" s="513" t="s">
        <v>2706</v>
      </c>
      <c r="C51" s="961">
        <f>'Part VI-Pro Forma'!E73-'Part VI-Pro Forma'!F73</f>
        <v>-109636.0927688214</v>
      </c>
      <c r="D51" s="961">
        <f>'Part VI-Pro Forma'!F73-'Part VI-Pro Forma'!G73</f>
        <v>-115854.83456780948</v>
      </c>
      <c r="E51" s="961">
        <f>'Part VI-Pro Forma'!G73-'Part VI-Pro Forma'!H73</f>
        <v>-121138.15656963782</v>
      </c>
      <c r="F51" s="961">
        <f>'Part VI-Pro Forma'!H73-'Part VI-Pro Forma'!I73</f>
        <v>-126721.5373815936</v>
      </c>
      <c r="G51" s="961">
        <f>'Part VI-Pro Forma'!I73-'Part VI-Pro Forma'!J73</f>
        <v>-132621.5572964442</v>
      </c>
      <c r="H51" s="961">
        <f>'Part VI-Pro Forma'!J73-'Part VI-Pro Forma'!K73</f>
        <v>-138855.9258744088</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-32671.938056870396</v>
      </c>
      <c r="D53" s="963">
        <f>'Part VI-Pro Forma'!G55</f>
        <v>-33652.09619857651</v>
      </c>
      <c r="E53" s="963">
        <f>'Part VI-Pro Forma'!H55</f>
        <v>-34661.6590845338</v>
      </c>
      <c r="F53" s="963">
        <f>'Part VI-Pro Forma'!I55</f>
        <v>-35701.508857069814</v>
      </c>
      <c r="G53" s="963">
        <f>'Part VI-Pro Forma'!J55</f>
        <v>-36772.554122781912</v>
      </c>
      <c r="H53" s="963">
        <f>'Part VI-Pro Forma'!K55</f>
        <v>-37875.730746465364</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792619.45454545459</v>
      </c>
      <c r="D55" s="588">
        <f t="shared" si="14"/>
        <v>792619.45454545459</v>
      </c>
      <c r="E55" s="588">
        <f t="shared" si="14"/>
        <v>792619.45454545459</v>
      </c>
      <c r="F55" s="588">
        <f t="shared" si="14"/>
        <v>792619.45454545459</v>
      </c>
      <c r="G55" s="588">
        <f t="shared" si="14"/>
        <v>792619.45454545459</v>
      </c>
      <c r="H55" s="588">
        <f t="shared" si="14"/>
        <v>792619.45454545459</v>
      </c>
    </row>
    <row r="56" spans="1:10" ht="13.5" customHeight="1">
      <c r="A56" s="513" t="s">
        <v>2711</v>
      </c>
      <c r="C56" s="583">
        <f t="shared" ref="C56:H56" si="15">IF(C$48&lt;=$H$4,($E$4/$H$4),0)+IF(C$48&lt;=$H$5,($E$5/$H$5),0)</f>
        <v>14070.87619047619</v>
      </c>
      <c r="D56" s="583">
        <f t="shared" si="15"/>
        <v>2097.542857142857</v>
      </c>
      <c r="E56" s="583">
        <f t="shared" si="15"/>
        <v>2097.542857142857</v>
      </c>
      <c r="F56" s="583">
        <f t="shared" si="15"/>
        <v>2097.542857142857</v>
      </c>
      <c r="G56" s="583">
        <f t="shared" si="15"/>
        <v>2097.542857142857</v>
      </c>
      <c r="H56" s="583">
        <f t="shared" si="15"/>
        <v>2097.542857142857</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3" t="e">
        <f ca="1">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Wesley Square</v>
      </c>
      <c r="B1" s="4676"/>
      <c r="C1" s="4676"/>
      <c r="D1" s="4676"/>
      <c r="E1" s="4676"/>
      <c r="F1" s="4676"/>
      <c r="G1" s="4676"/>
      <c r="H1" s="4676"/>
      <c r="I1" s="4676"/>
      <c r="J1" s="4676"/>
      <c r="K1" s="4676"/>
    </row>
    <row r="2" spans="1:11" s="438" customFormat="1" ht="17.649999999999999" customHeight="1">
      <c r="A2" s="4675" t="s">
        <v>2877</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3960</v>
      </c>
      <c r="B4" s="4677"/>
      <c r="C4" s="1391"/>
      <c r="D4" s="4677" t="s">
        <v>3961</v>
      </c>
      <c r="E4" s="4677"/>
      <c r="F4" s="520"/>
      <c r="G4" s="4677" t="s">
        <v>3962</v>
      </c>
      <c r="H4" s="4677"/>
      <c r="I4" s="520"/>
      <c r="J4" s="4677" t="s">
        <v>4073</v>
      </c>
      <c r="K4" s="4677"/>
    </row>
    <row r="5" spans="1:11" ht="25.9" customHeight="1">
      <c r="A5" s="4678" t="str">
        <f>'Part II-Sources of Funds'!E40</f>
        <v xml:space="preserve">Grandbridge Real Estate Capital </v>
      </c>
      <c r="B5" s="4679"/>
      <c r="C5" s="438"/>
      <c r="D5" s="4678" t="str">
        <f>'Part II-Sources of Funds'!E41</f>
        <v>Gwinnett County ARPA</v>
      </c>
      <c r="E5" s="4679"/>
      <c r="F5" s="1392"/>
      <c r="G5" s="4678">
        <f>'Part II-Sources of Funds'!E42</f>
        <v>0</v>
      </c>
      <c r="H5" s="4679"/>
      <c r="I5" s="1392"/>
      <c r="J5" s="4678">
        <f>'Part II-Sources of Funds'!E43</f>
        <v>0</v>
      </c>
      <c r="K5" s="4679"/>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25081.555139133055</v>
      </c>
      <c r="D10" s="967">
        <v>1</v>
      </c>
      <c r="E10" s="968">
        <f>-'Part VI-Pro Forma'!$B27/12</f>
        <v>1089.6031485500669</v>
      </c>
      <c r="G10" s="967">
        <v>1</v>
      </c>
      <c r="H10" s="968">
        <f>-'Part VI-Pro Forma'!$B28/12</f>
        <v>0</v>
      </c>
      <c r="J10" s="967">
        <v>1</v>
      </c>
      <c r="K10" s="968">
        <f>-'Part VI-Pro Forma'!$B29/12</f>
        <v>0</v>
      </c>
    </row>
    <row r="11" spans="1:11" ht="20.25" customHeight="1">
      <c r="A11" s="967">
        <v>2</v>
      </c>
      <c r="B11" s="968">
        <f>-'Part VI-Pro Forma'!$C26/12</f>
        <v>25081.555139133055</v>
      </c>
      <c r="D11" s="967">
        <v>2</v>
      </c>
      <c r="E11" s="968">
        <f>-'Part VI-Pro Forma'!$C27/12</f>
        <v>1142.2956955500692</v>
      </c>
      <c r="G11" s="967">
        <v>2</v>
      </c>
      <c r="H11" s="968">
        <f>-'Part VI-Pro Forma'!$C28/12</f>
        <v>0</v>
      </c>
      <c r="J11" s="967">
        <v>2</v>
      </c>
      <c r="K11" s="968">
        <f>-'Part VI-Pro Forma'!$C29/12</f>
        <v>0</v>
      </c>
    </row>
    <row r="12" spans="1:11" ht="20.25" customHeight="1">
      <c r="A12" s="967">
        <v>3</v>
      </c>
      <c r="B12" s="968">
        <f>-'Part VI-Pro Forma'!$D26/12</f>
        <v>25081.555139133055</v>
      </c>
      <c r="D12" s="967">
        <v>3</v>
      </c>
      <c r="E12" s="968">
        <f>-'Part VI-Pro Forma'!$D27/12</f>
        <v>1193.0682539067323</v>
      </c>
      <c r="G12" s="967">
        <v>3</v>
      </c>
      <c r="H12" s="968">
        <f>-'Part VI-Pro Forma'!$D28/12</f>
        <v>0</v>
      </c>
      <c r="J12" s="967">
        <v>3</v>
      </c>
      <c r="K12" s="968">
        <f>-'Part VI-Pro Forma'!$D29/12</f>
        <v>0</v>
      </c>
    </row>
    <row r="13" spans="1:11" ht="20.25" customHeight="1">
      <c r="A13" s="967">
        <v>4</v>
      </c>
      <c r="B13" s="968">
        <f>-'Part VI-Pro Forma'!$E26/12</f>
        <v>25081.555139133055</v>
      </c>
      <c r="D13" s="967">
        <v>4</v>
      </c>
      <c r="E13" s="968">
        <f>-'Part VI-Pro Forma'!$E27/12</f>
        <v>1241.8027753263668</v>
      </c>
      <c r="G13" s="967">
        <v>4</v>
      </c>
      <c r="H13" s="968">
        <f>-'Part VI-Pro Forma'!$E28/12</f>
        <v>0</v>
      </c>
      <c r="J13" s="967">
        <v>4</v>
      </c>
      <c r="K13" s="968">
        <f>-'Part VI-Pro Forma'!$E29/12</f>
        <v>0</v>
      </c>
    </row>
    <row r="14" spans="1:11" ht="20.25" customHeight="1">
      <c r="A14" s="1393">
        <v>5</v>
      </c>
      <c r="B14" s="1394">
        <f>-'Part VI-Pro Forma'!$F26/12</f>
        <v>25081.555139133055</v>
      </c>
      <c r="D14" s="1393">
        <v>5</v>
      </c>
      <c r="E14" s="1394">
        <f>-'Part VI-Pro Forma'!$F27/12</f>
        <v>1288.376186093775</v>
      </c>
      <c r="G14" s="1393">
        <v>5</v>
      </c>
      <c r="H14" s="1394">
        <f>-'Part VI-Pro Forma'!$F28/12</f>
        <v>0</v>
      </c>
      <c r="J14" s="1393">
        <v>5</v>
      </c>
      <c r="K14" s="1394">
        <f>-'Part VI-Pro Forma'!$F29/12</f>
        <v>0</v>
      </c>
    </row>
    <row r="15" spans="1:11" ht="20.25" customHeight="1">
      <c r="A15" s="967">
        <v>6</v>
      </c>
      <c r="B15" s="968">
        <f>-'Part VI-Pro Forma'!$G26/12</f>
        <v>25081.555139133055</v>
      </c>
      <c r="D15" s="967">
        <v>6</v>
      </c>
      <c r="E15" s="968">
        <f>-'Part VI-Pro Forma'!$G27/12</f>
        <v>1332.6602066301432</v>
      </c>
      <c r="G15" s="967">
        <v>6</v>
      </c>
      <c r="H15" s="968">
        <f>-'Part VI-Pro Forma'!$G28/12</f>
        <v>0</v>
      </c>
      <c r="J15" s="967">
        <v>6</v>
      </c>
      <c r="K15" s="968">
        <f>-'Part VI-Pro Forma'!$G29/12</f>
        <v>0</v>
      </c>
    </row>
    <row r="16" spans="1:11" ht="20.25" customHeight="1">
      <c r="A16" s="967">
        <v>7</v>
      </c>
      <c r="B16" s="968">
        <f>-'Part VI-Pro Forma'!$H26/12</f>
        <v>25081.555139133055</v>
      </c>
      <c r="D16" s="967">
        <v>7</v>
      </c>
      <c r="E16" s="968">
        <f>-'Part VI-Pro Forma'!$H27/12</f>
        <v>1374.4794983774736</v>
      </c>
      <c r="G16" s="967">
        <v>7</v>
      </c>
      <c r="H16" s="968">
        <f>-'Part VI-Pro Forma'!$H28/12</f>
        <v>0</v>
      </c>
      <c r="J16" s="967">
        <v>7</v>
      </c>
      <c r="K16" s="968">
        <f>-'Part VI-Pro Forma'!$H29/12</f>
        <v>0</v>
      </c>
    </row>
    <row r="17" spans="1:11" ht="20.25" customHeight="1">
      <c r="A17" s="967">
        <v>8</v>
      </c>
      <c r="B17" s="968">
        <f>-'Part VI-Pro Forma'!$I26/12</f>
        <v>25081.555139133055</v>
      </c>
      <c r="D17" s="967">
        <v>8</v>
      </c>
      <c r="E17" s="968">
        <f>-'Part VI-Pro Forma'!$I27/12</f>
        <v>1413.7156378173156</v>
      </c>
      <c r="G17" s="967">
        <v>8</v>
      </c>
      <c r="H17" s="968">
        <f>-'Part VI-Pro Forma'!$I28/12</f>
        <v>0</v>
      </c>
      <c r="J17" s="967">
        <v>8</v>
      </c>
      <c r="K17" s="968">
        <f>-'Part VI-Pro Forma'!$I29/12</f>
        <v>0</v>
      </c>
    </row>
    <row r="18" spans="1:11" ht="20.25" customHeight="1">
      <c r="A18" s="967">
        <v>9</v>
      </c>
      <c r="B18" s="968">
        <f>-'Part VI-Pro Forma'!$J26/12</f>
        <v>25081.555139133055</v>
      </c>
      <c r="D18" s="967">
        <v>9</v>
      </c>
      <c r="E18" s="968">
        <f>-'Part VI-Pro Forma'!$J27/12</f>
        <v>1450.1819174259363</v>
      </c>
      <c r="G18" s="967">
        <v>9</v>
      </c>
      <c r="H18" s="968">
        <f>-'Part VI-Pro Forma'!$J28/12</f>
        <v>0</v>
      </c>
      <c r="J18" s="967">
        <v>9</v>
      </c>
      <c r="K18" s="968">
        <f>-'Part VI-Pro Forma'!$J29/12</f>
        <v>0</v>
      </c>
    </row>
    <row r="19" spans="1:11" ht="20.25" customHeight="1">
      <c r="A19" s="1393">
        <v>10</v>
      </c>
      <c r="B19" s="1394">
        <f>-'Part VI-Pro Forma'!$K26/12</f>
        <v>25081.555139133055</v>
      </c>
      <c r="D19" s="1393">
        <v>10</v>
      </c>
      <c r="E19" s="1394">
        <f>-'Part VI-Pro Forma'!$K27/12</f>
        <v>1483.768973361417</v>
      </c>
      <c r="G19" s="1393">
        <v>10</v>
      </c>
      <c r="H19" s="1394">
        <f>-'Part VI-Pro Forma'!$K28/12</f>
        <v>0</v>
      </c>
      <c r="J19" s="1393">
        <v>10</v>
      </c>
      <c r="K19" s="1394">
        <f>-'Part VI-Pro Forma'!$K29/12</f>
        <v>0</v>
      </c>
    </row>
    <row r="20" spans="1:11" ht="20.25" customHeight="1">
      <c r="A20" s="967">
        <v>11</v>
      </c>
      <c r="B20" s="968">
        <f>-'Part VI-Pro Forma'!$B58/12</f>
        <v>25081.555139133055</v>
      </c>
      <c r="D20" s="967">
        <v>11</v>
      </c>
      <c r="E20" s="968">
        <f>-'Part VI-Pro Forma'!$B59/12</f>
        <v>1514.2570730056832</v>
      </c>
      <c r="G20" s="967">
        <v>11</v>
      </c>
      <c r="H20" s="968">
        <f>-'Part VI-Pro Forma'!$B60/12</f>
        <v>0</v>
      </c>
      <c r="J20" s="967">
        <v>11</v>
      </c>
      <c r="K20" s="968">
        <f>-'Part VI-Pro Forma'!$B61/12</f>
        <v>0</v>
      </c>
    </row>
    <row r="21" spans="1:11" ht="20.25" customHeight="1">
      <c r="A21" s="967">
        <v>12</v>
      </c>
      <c r="B21" s="968">
        <f>-'Part VI-Pro Forma'!$C58/12</f>
        <v>25081.555139133055</v>
      </c>
      <c r="D21" s="967">
        <v>12</v>
      </c>
      <c r="E21" s="968">
        <f>-'Part VI-Pro Forma'!$C59/12</f>
        <v>1541.4825621439329</v>
      </c>
      <c r="G21" s="967">
        <v>12</v>
      </c>
      <c r="H21" s="968">
        <f>-'Part VI-Pro Forma'!$C60/12</f>
        <v>0</v>
      </c>
      <c r="J21" s="967">
        <v>12</v>
      </c>
      <c r="K21" s="968">
        <f>-'Part VI-Pro Forma'!$C61/12</f>
        <v>0</v>
      </c>
    </row>
    <row r="22" spans="1:11" ht="20.25" customHeight="1">
      <c r="A22" s="967">
        <v>13</v>
      </c>
      <c r="B22" s="968">
        <f>-'Part VI-Pro Forma'!$D58/12</f>
        <v>25081.555139133055</v>
      </c>
      <c r="D22" s="967">
        <v>13</v>
      </c>
      <c r="E22" s="968">
        <f>-'Part VI-Pro Forma'!$D59/12</f>
        <v>1565.2959715577697</v>
      </c>
      <c r="G22" s="967">
        <v>13</v>
      </c>
      <c r="H22" s="968">
        <f>-'Part VI-Pro Forma'!$D60/12</f>
        <v>0</v>
      </c>
      <c r="J22" s="967">
        <v>13</v>
      </c>
      <c r="K22" s="968">
        <f>-'Part VI-Pro Forma'!$D61/12</f>
        <v>0</v>
      </c>
    </row>
    <row r="23" spans="1:11" ht="20.25" customHeight="1">
      <c r="A23" s="967">
        <v>14</v>
      </c>
      <c r="B23" s="968">
        <f>-'Part VI-Pro Forma'!$E58/12</f>
        <v>25081.555139133055</v>
      </c>
      <c r="D23" s="967">
        <v>14</v>
      </c>
      <c r="E23" s="968">
        <f>-'Part VI-Pro Forma'!$E59/12</f>
        <v>1585.478449467475</v>
      </c>
      <c r="G23" s="967">
        <v>14</v>
      </c>
      <c r="H23" s="968">
        <f>-'Part VI-Pro Forma'!$E60/12</f>
        <v>0</v>
      </c>
      <c r="J23" s="967">
        <v>14</v>
      </c>
      <c r="K23" s="968">
        <f>-'Part VI-Pro Forma'!$E61/12</f>
        <v>0</v>
      </c>
    </row>
    <row r="24" spans="1:11" ht="20.25" customHeight="1">
      <c r="A24" s="1393">
        <v>15</v>
      </c>
      <c r="B24" s="1394">
        <f>-'Part VI-Pro Forma'!$F58/12</f>
        <v>25081.555139133055</v>
      </c>
      <c r="D24" s="1393">
        <v>15</v>
      </c>
      <c r="E24" s="1394">
        <f>-'Part VI-Pro Forma'!$F59/12</f>
        <v>1601.8248529188556</v>
      </c>
      <c r="G24" s="1393">
        <v>15</v>
      </c>
      <c r="H24" s="1394">
        <f>-'Part VI-Pro Forma'!$F60/12</f>
        <v>0</v>
      </c>
      <c r="J24" s="1393">
        <v>15</v>
      </c>
      <c r="K24" s="1394">
        <f>-'Part VI-Pro Forma'!$F61/12</f>
        <v>0</v>
      </c>
    </row>
    <row r="25" spans="1:11" ht="20.25" customHeight="1">
      <c r="A25" s="967">
        <v>16</v>
      </c>
      <c r="B25" s="968">
        <f>-'Part VI-Pro Forma'!$G58/12</f>
        <v>25081.555139133055</v>
      </c>
      <c r="D25" s="967">
        <v>16</v>
      </c>
      <c r="E25" s="968">
        <f>-'Part VI-Pro Forma'!$G59/12</f>
        <v>1510.0184978689056</v>
      </c>
      <c r="G25" s="967">
        <v>16</v>
      </c>
      <c r="H25" s="968">
        <f>-'Part VI-Pro Forma'!$G60/12</f>
        <v>0</v>
      </c>
      <c r="J25" s="967">
        <v>16</v>
      </c>
      <c r="K25" s="968">
        <f>-'Part VI-Pro Forma'!$G61/12</f>
        <v>0</v>
      </c>
    </row>
    <row r="26" spans="1:11" ht="20.25" customHeight="1">
      <c r="A26" s="967">
        <v>17</v>
      </c>
      <c r="B26" s="968">
        <f>-'Part VI-Pro Forma'!$H58/12</f>
        <v>25081.555139133055</v>
      </c>
      <c r="D26" s="967">
        <v>17</v>
      </c>
      <c r="E26" s="968">
        <f>-'Part VI-Pro Forma'!$H59/12</f>
        <v>1518.1309010505295</v>
      </c>
      <c r="G26" s="967">
        <v>17</v>
      </c>
      <c r="H26" s="968">
        <f>-'Part VI-Pro Forma'!$H60/12</f>
        <v>0</v>
      </c>
      <c r="J26" s="967">
        <v>17</v>
      </c>
      <c r="K26" s="968">
        <f>-'Part VI-Pro Forma'!$H61/12</f>
        <v>0</v>
      </c>
    </row>
    <row r="27" spans="1:11" ht="20.25" customHeight="1">
      <c r="A27" s="967">
        <v>18</v>
      </c>
      <c r="B27" s="968">
        <f>-'Part VI-Pro Forma'!$I58/12</f>
        <v>25081.555139133055</v>
      </c>
      <c r="D27" s="967">
        <v>18</v>
      </c>
      <c r="E27" s="968">
        <f>-'Part VI-Pro Forma'!$I59/12</f>
        <v>1521.7881800216285</v>
      </c>
      <c r="G27" s="967">
        <v>18</v>
      </c>
      <c r="H27" s="968">
        <f>-'Part VI-Pro Forma'!$I60/12</f>
        <v>0</v>
      </c>
      <c r="J27" s="967">
        <v>18</v>
      </c>
      <c r="K27" s="968">
        <f>-'Part VI-Pro Forma'!$I61/12</f>
        <v>0</v>
      </c>
    </row>
    <row r="28" spans="1:11" ht="20.25" customHeight="1">
      <c r="A28" s="967">
        <v>19</v>
      </c>
      <c r="B28" s="968">
        <f>-'Part VI-Pro Forma'!$J58/12</f>
        <v>25081.555139133055</v>
      </c>
      <c r="D28" s="967">
        <v>19</v>
      </c>
      <c r="E28" s="968">
        <f>-'Part VI-Pro Forma'!$J59/12</f>
        <v>1520.7749444631165</v>
      </c>
      <c r="G28" s="967">
        <v>19</v>
      </c>
      <c r="H28" s="968">
        <f>-'Part VI-Pro Forma'!$J60/12</f>
        <v>0</v>
      </c>
      <c r="J28" s="967">
        <v>19</v>
      </c>
      <c r="K28" s="968">
        <f>-'Part VI-Pro Forma'!$J61/12</f>
        <v>0</v>
      </c>
    </row>
    <row r="29" spans="1:11" ht="20.25" customHeight="1">
      <c r="A29" s="1393">
        <v>20</v>
      </c>
      <c r="B29" s="1394">
        <f>-'Part VI-Pro Forma'!$K58/12</f>
        <v>25081.555139133055</v>
      </c>
      <c r="D29" s="1393">
        <v>20</v>
      </c>
      <c r="E29" s="1394">
        <f>-'Part VI-Pro Forma'!$K59/12</f>
        <v>1514.8465117811331</v>
      </c>
      <c r="G29" s="1393">
        <v>20</v>
      </c>
      <c r="H29" s="1394">
        <f>-'Part VI-Pro Forma'!$K60/12</f>
        <v>0</v>
      </c>
      <c r="J29" s="1393">
        <v>20</v>
      </c>
      <c r="K29" s="1394">
        <f>-'Part VI-Pro Forma'!$K61/12</f>
        <v>0</v>
      </c>
    </row>
    <row r="30" spans="1:11" ht="20.25" customHeight="1">
      <c r="A30" s="967">
        <v>21</v>
      </c>
      <c r="B30" s="968">
        <f>-'Part VI-Pro Forma'!$B90/12</f>
        <v>25081.555139133055</v>
      </c>
      <c r="D30" s="967">
        <v>21</v>
      </c>
      <c r="E30" s="968">
        <f>-'Part VI-Pro Forma'!$B91/12</f>
        <v>1503.7494467275053</v>
      </c>
      <c r="G30" s="967">
        <v>21</v>
      </c>
      <c r="H30" s="968">
        <f>-'Part VI-Pro Forma'!$B92/12</f>
        <v>0</v>
      </c>
      <c r="J30" s="967">
        <v>21</v>
      </c>
      <c r="K30" s="968">
        <f>-'Part VI-Pro Forma'!$B93/12</f>
        <v>0</v>
      </c>
    </row>
    <row r="31" spans="1:11" ht="20.25" customHeight="1">
      <c r="A31" s="967">
        <v>22</v>
      </c>
      <c r="B31" s="968">
        <f>-'Part VI-Pro Forma'!$C90/12</f>
        <v>25081.555139133055</v>
      </c>
      <c r="D31" s="967">
        <v>22</v>
      </c>
      <c r="E31" s="968">
        <f>-'Part VI-Pro Forma'!$C91/12</f>
        <v>1487.2629247432535</v>
      </c>
      <c r="G31" s="967">
        <v>22</v>
      </c>
      <c r="H31" s="968">
        <f>-'Part VI-Pro Forma'!$C92/12</f>
        <v>0</v>
      </c>
      <c r="J31" s="967">
        <v>22</v>
      </c>
      <c r="K31" s="968">
        <f>-'Part VI-Pro Forma'!$C93/12</f>
        <v>0</v>
      </c>
    </row>
    <row r="32" spans="1:11" ht="20.25" customHeight="1">
      <c r="A32" s="967">
        <v>23</v>
      </c>
      <c r="B32" s="968">
        <f>-'Part VI-Pro Forma'!$D90/12</f>
        <v>25081.555139133055</v>
      </c>
      <c r="D32" s="967">
        <v>23</v>
      </c>
      <c r="E32" s="968">
        <f>-'Part VI-Pro Forma'!$D91/12</f>
        <v>1465.0734187208848</v>
      </c>
      <c r="G32" s="967">
        <v>23</v>
      </c>
      <c r="H32" s="968">
        <f>-'Part VI-Pro Forma'!$D92/12</f>
        <v>0</v>
      </c>
      <c r="J32" s="967">
        <v>23</v>
      </c>
      <c r="K32" s="968">
        <f>-'Part VI-Pro Forma'!$D93/12</f>
        <v>0</v>
      </c>
    </row>
    <row r="33" spans="1:11" ht="20.25" customHeight="1">
      <c r="A33" s="967">
        <v>24</v>
      </c>
      <c r="B33" s="968">
        <f>-'Part VI-Pro Forma'!$E90/12</f>
        <v>25081.555139133055</v>
      </c>
      <c r="D33" s="967">
        <v>24</v>
      </c>
      <c r="E33" s="968">
        <f>-'Part VI-Pro Forma'!$E91/12</f>
        <v>1436.9410422049998</v>
      </c>
      <c r="G33" s="967">
        <v>24</v>
      </c>
      <c r="H33" s="968">
        <f>-'Part VI-Pro Forma'!$E92/12</f>
        <v>0</v>
      </c>
      <c r="J33" s="967">
        <v>24</v>
      </c>
      <c r="K33" s="968">
        <f>-'Part VI-Pro Forma'!$E93/12</f>
        <v>0</v>
      </c>
    </row>
    <row r="34" spans="1:11" ht="20.25" customHeight="1">
      <c r="A34" s="1393">
        <v>25</v>
      </c>
      <c r="B34" s="1394">
        <f>-'Part VI-Pro Forma'!$F90/12</f>
        <v>25081.555139133055</v>
      </c>
      <c r="D34" s="1393">
        <v>25</v>
      </c>
      <c r="E34" s="1394">
        <f>-'Part VI-Pro Forma'!$F91/12</f>
        <v>1402.5742153745693</v>
      </c>
      <c r="G34" s="1393">
        <v>25</v>
      </c>
      <c r="H34" s="1394">
        <f>-'Part VI-Pro Forma'!$F92/12</f>
        <v>0</v>
      </c>
      <c r="J34" s="1393">
        <v>25</v>
      </c>
      <c r="K34" s="1394">
        <f>-'Part VI-Pro Forma'!$F93/12</f>
        <v>0</v>
      </c>
    </row>
    <row r="35" spans="1:11" ht="20.25" customHeight="1">
      <c r="A35" s="967">
        <v>26</v>
      </c>
      <c r="B35" s="968">
        <f>-'Part VI-Pro Forma'!$G90/12</f>
        <v>25081.555139133055</v>
      </c>
      <c r="D35" s="967">
        <v>26</v>
      </c>
      <c r="E35" s="968">
        <f>-'Part VI-Pro Forma'!$G91/12</f>
        <v>1361.691820139753</v>
      </c>
      <c r="G35" s="967">
        <v>26</v>
      </c>
      <c r="H35" s="968">
        <f>-'Part VI-Pro Forma'!$G92/12</f>
        <v>0</v>
      </c>
      <c r="J35" s="967">
        <v>26</v>
      </c>
      <c r="K35" s="968">
        <f>-'Part VI-Pro Forma'!$G93/12</f>
        <v>0</v>
      </c>
    </row>
    <row r="36" spans="1:11" ht="20.25" customHeight="1">
      <c r="A36" s="967">
        <v>27</v>
      </c>
      <c r="B36" s="968">
        <f>-'Part VI-Pro Forma'!$H90/12</f>
        <v>25081.555139133055</v>
      </c>
      <c r="D36" s="967">
        <v>27</v>
      </c>
      <c r="E36" s="968">
        <f>-'Part VI-Pro Forma'!$H91/12</f>
        <v>1313.9603440097708</v>
      </c>
      <c r="G36" s="967">
        <v>27</v>
      </c>
      <c r="H36" s="968">
        <f>-'Part VI-Pro Forma'!$H92/12</f>
        <v>0</v>
      </c>
      <c r="J36" s="967">
        <v>27</v>
      </c>
      <c r="K36" s="968">
        <f>-'Part VI-Pro Forma'!$H93/12</f>
        <v>0</v>
      </c>
    </row>
    <row r="37" spans="1:11" ht="20.25" customHeight="1">
      <c r="A37" s="967">
        <v>28</v>
      </c>
      <c r="B37" s="968">
        <f>-'Part VI-Pro Forma'!$I90/12</f>
        <v>25081.555139133055</v>
      </c>
      <c r="D37" s="967">
        <v>28</v>
      </c>
      <c r="E37" s="968">
        <f>-'Part VI-Pro Forma'!$I91/12</f>
        <v>1259.076845710332</v>
      </c>
      <c r="G37" s="967">
        <v>28</v>
      </c>
      <c r="H37" s="968">
        <f>-'Part VI-Pro Forma'!$I92/12</f>
        <v>0</v>
      </c>
      <c r="J37" s="967">
        <v>28</v>
      </c>
      <c r="K37" s="968">
        <f>-'Part VI-Pro Forma'!$I93/12</f>
        <v>0</v>
      </c>
    </row>
    <row r="38" spans="1:11" ht="20.25" customHeight="1">
      <c r="A38" s="967">
        <v>29</v>
      </c>
      <c r="B38" s="968">
        <f>-'Part VI-Pro Forma'!$J90/12</f>
        <v>25081.555139133055</v>
      </c>
      <c r="D38" s="967">
        <v>29</v>
      </c>
      <c r="E38" s="968">
        <f>-'Part VI-Pro Forma'!$J91/12</f>
        <v>1196.7060755186492</v>
      </c>
      <c r="G38" s="967">
        <v>29</v>
      </c>
      <c r="H38" s="968">
        <f>-'Part VI-Pro Forma'!$J92/12</f>
        <v>0</v>
      </c>
      <c r="J38" s="967">
        <v>29</v>
      </c>
      <c r="K38" s="968">
        <f>-'Part VI-Pro Forma'!$J93/12</f>
        <v>0</v>
      </c>
    </row>
    <row r="39" spans="1:11" ht="20.25" customHeight="1">
      <c r="A39" s="1393">
        <v>30</v>
      </c>
      <c r="B39" s="1394">
        <f>-'Part VI-Pro Forma'!$K90/12</f>
        <v>25081.555139133055</v>
      </c>
      <c r="D39" s="1393">
        <v>30</v>
      </c>
      <c r="E39" s="1394">
        <f>-'Part VI-Pro Forma'!$K91/12</f>
        <v>1126.5217499390794</v>
      </c>
      <c r="G39" s="1393">
        <v>30</v>
      </c>
      <c r="H39" s="1394">
        <f>-'Part VI-Pro Forma'!$K92/12</f>
        <v>0</v>
      </c>
      <c r="J39" s="1393">
        <v>30</v>
      </c>
      <c r="K39" s="1394">
        <f>-'Part VI-Pro Forma'!$K93/12</f>
        <v>0</v>
      </c>
    </row>
    <row r="40" spans="1:11" ht="20.25" customHeight="1">
      <c r="A40" s="967">
        <v>31</v>
      </c>
      <c r="B40" s="968">
        <f>-'Part VI-Pro Forma'!$B120/12</f>
        <v>25081.555139133055</v>
      </c>
      <c r="D40" s="967">
        <v>31</v>
      </c>
      <c r="E40" s="968">
        <f>-'Part VI-Pro Forma'!$B121/12</f>
        <v>1048.1644803310264</v>
      </c>
      <c r="G40" s="967">
        <v>31</v>
      </c>
      <c r="H40" s="968">
        <f>-'Part VI-Pro Forma'!$B122/12</f>
        <v>0</v>
      </c>
      <c r="J40" s="967">
        <v>31</v>
      </c>
      <c r="K40" s="968">
        <f>-'Part VI-Pro Forma'!$B123/12</f>
        <v>0</v>
      </c>
    </row>
    <row r="41" spans="1:11" ht="20.25" customHeight="1">
      <c r="A41" s="967">
        <v>32</v>
      </c>
      <c r="B41" s="968">
        <f>-'Part VI-Pro Forma'!$C120/12</f>
        <v>25081.555139133055</v>
      </c>
      <c r="D41" s="967">
        <v>32</v>
      </c>
      <c r="E41" s="968">
        <f>-'Part VI-Pro Forma'!$C121/12</f>
        <v>961.24135508838901</v>
      </c>
      <c r="G41" s="967">
        <v>32</v>
      </c>
      <c r="H41" s="968">
        <f>-'Part VI-Pro Forma'!$C122/12</f>
        <v>0</v>
      </c>
      <c r="J41" s="967">
        <v>32</v>
      </c>
      <c r="K41" s="968">
        <f>-'Part VI-Pro Forma'!$C123/12</f>
        <v>0</v>
      </c>
    </row>
    <row r="42" spans="1:11" ht="20.25" customHeight="1">
      <c r="A42" s="967">
        <v>33</v>
      </c>
      <c r="B42" s="968">
        <f>-'Part VI-Pro Forma'!$D120/12</f>
        <v>25081.555139133055</v>
      </c>
      <c r="D42" s="967">
        <v>33</v>
      </c>
      <c r="E42" s="968">
        <f>-'Part VI-Pro Forma'!$D121/12</f>
        <v>865.40884162456621</v>
      </c>
      <c r="G42" s="967">
        <v>33</v>
      </c>
      <c r="H42" s="968">
        <f>-'Part VI-Pro Forma'!$D122/12</f>
        <v>0</v>
      </c>
      <c r="J42" s="967">
        <v>33</v>
      </c>
      <c r="K42" s="968">
        <f>-'Part VI-Pro Forma'!$D123/12</f>
        <v>0</v>
      </c>
    </row>
    <row r="43" spans="1:11" ht="20.25" customHeight="1">
      <c r="A43" s="967">
        <v>34</v>
      </c>
      <c r="B43" s="968">
        <f>-'Part VI-Pro Forma'!$E120/12</f>
        <v>25081.555139133055</v>
      </c>
      <c r="D43" s="967">
        <v>34</v>
      </c>
      <c r="E43" s="968">
        <f>-'Part VI-Pro Forma'!$E121/12</f>
        <v>760.26817440362117</v>
      </c>
      <c r="G43" s="967">
        <v>34</v>
      </c>
      <c r="H43" s="968">
        <f>-'Part VI-Pro Forma'!$E122/12</f>
        <v>0</v>
      </c>
      <c r="J43" s="967">
        <v>34</v>
      </c>
      <c r="K43" s="968">
        <f>-'Part VI-Pro Forma'!$E123/12</f>
        <v>0</v>
      </c>
    </row>
    <row r="44" spans="1:11" ht="20.25" customHeight="1">
      <c r="A44" s="967">
        <v>35</v>
      </c>
      <c r="B44" s="968">
        <f>-'Part VI-Pro Forma'!$F120/12</f>
        <v>25081.555139133055</v>
      </c>
      <c r="D44" s="967">
        <v>35</v>
      </c>
      <c r="E44" s="968">
        <f>-'Part VI-Pro Forma'!$F121/12</f>
        <v>645.38572857912607</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0" t="str">
        <f>CONCATENATE('Sensitivity Analysis'!E8,"  ",'Sensitivity Analysis'!C8)</f>
        <v>2024-0  Wesley Square</v>
      </c>
      <c r="B1" s="4680"/>
      <c r="C1" s="4680"/>
      <c r="D1" s="4680"/>
      <c r="E1" s="4680"/>
      <c r="F1" s="4680"/>
      <c r="G1" s="4680"/>
      <c r="H1" s="4680"/>
    </row>
    <row r="3" spans="1:11" ht="12" customHeight="1">
      <c r="A3" s="4681" t="s">
        <v>3019</v>
      </c>
      <c r="B3" s="4681"/>
      <c r="C3" s="4681"/>
      <c r="D3" s="4681"/>
      <c r="E3" s="4681"/>
      <c r="F3" s="4681"/>
      <c r="G3" s="4681"/>
      <c r="H3" s="4681"/>
      <c r="I3" s="1006"/>
      <c r="J3" s="4683" t="s">
        <v>3368</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84"/>
      <c r="F7" s="4684"/>
      <c r="G7" s="4684"/>
      <c r="H7" s="4684"/>
      <c r="J7" s="4683"/>
      <c r="K7" s="4683"/>
    </row>
    <row r="8" spans="1:11" ht="12" customHeight="1">
      <c r="E8" s="4684"/>
      <c r="F8" s="4684"/>
      <c r="G8" s="4684"/>
      <c r="H8" s="4684"/>
      <c r="J8" s="4683"/>
      <c r="K8" s="4683"/>
    </row>
    <row r="9" spans="1:11" ht="12" customHeight="1">
      <c r="C9" s="431" t="s">
        <v>2732</v>
      </c>
      <c r="E9" s="4682"/>
      <c r="F9" s="4682"/>
      <c r="J9" s="4683"/>
      <c r="K9" s="4683"/>
    </row>
    <row r="10" spans="1:11" ht="12" customHeight="1">
      <c r="C10" s="431" t="s">
        <v>2733</v>
      </c>
      <c r="E10" s="4684"/>
      <c r="F10" s="4684"/>
      <c r="G10" s="4684"/>
      <c r="H10" s="4684"/>
    </row>
    <row r="11" spans="1:11" ht="12" customHeight="1">
      <c r="C11" s="431" t="s">
        <v>3373</v>
      </c>
      <c r="E11" s="4684"/>
      <c r="F11" s="4684"/>
      <c r="G11" s="4684"/>
      <c r="H11" s="4684"/>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Wesley Square</v>
      </c>
    </row>
    <row r="16" spans="1:11" ht="12" customHeight="1">
      <c r="C16" s="431" t="s">
        <v>2735</v>
      </c>
      <c r="E16" s="4684"/>
      <c r="F16" s="4684"/>
      <c r="G16" s="4684"/>
      <c r="H16" s="4684"/>
    </row>
    <row r="17" spans="1:8" ht="12" customHeight="1">
      <c r="E17" s="437" t="str">
        <f>'Part I-Project Identification'!F27</f>
        <v>Norcross</v>
      </c>
      <c r="F17" s="598" t="s">
        <v>790</v>
      </c>
      <c r="G17" s="4685" t="s">
        <v>4638</v>
      </c>
      <c r="H17" s="4685"/>
    </row>
    <row r="18" spans="1:8" ht="12" customHeight="1">
      <c r="E18" s="608" t="str">
        <f>'Part I-Project Identification'!J27</f>
        <v>Gwinnett</v>
      </c>
    </row>
    <row r="19" spans="1:8" ht="3" customHeight="1"/>
    <row r="20" spans="1:8" ht="12" customHeight="1">
      <c r="A20" s="431">
        <v>4</v>
      </c>
      <c r="C20" s="431" t="s">
        <v>2736</v>
      </c>
      <c r="E20" s="4684"/>
      <c r="F20" s="4684"/>
      <c r="G20" s="4684"/>
      <c r="H20" s="4684"/>
    </row>
    <row r="21" spans="1:8" ht="12" customHeight="1">
      <c r="C21" s="431" t="s">
        <v>2737</v>
      </c>
      <c r="E21" s="4684"/>
      <c r="F21" s="4684"/>
      <c r="G21" s="4684"/>
      <c r="H21" s="4684"/>
    </row>
    <row r="22" spans="1:8" ht="12" customHeight="1">
      <c r="E22" s="4684"/>
      <c r="F22" s="4684"/>
      <c r="G22" s="4684"/>
      <c r="H22" s="4684"/>
    </row>
    <row r="23" spans="1:8" ht="12" customHeight="1">
      <c r="C23" s="431" t="s">
        <v>3369</v>
      </c>
      <c r="E23" s="1900"/>
    </row>
    <row r="24" spans="1:8" ht="12" customHeight="1">
      <c r="C24" s="431" t="s">
        <v>3372</v>
      </c>
      <c r="E24" s="1900"/>
    </row>
    <row r="25" spans="1:8" ht="12" customHeight="1">
      <c r="C25" s="431" t="s">
        <v>3373</v>
      </c>
      <c r="E25" s="4684"/>
      <c r="F25" s="4684"/>
      <c r="G25" s="4684"/>
      <c r="H25" s="4684"/>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16500000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180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4"/>
      <c r="F48" s="4684"/>
      <c r="G48" s="4684"/>
      <c r="H48" s="4684"/>
    </row>
    <row r="49" spans="1:8" ht="3" customHeight="1">
      <c r="E49" s="608"/>
    </row>
    <row r="50" spans="1:8" ht="12" customHeight="1">
      <c r="A50" s="431">
        <v>15</v>
      </c>
      <c r="C50" s="431" t="s">
        <v>3375</v>
      </c>
      <c r="E50" s="4684"/>
      <c r="F50" s="4684"/>
      <c r="G50" s="4684"/>
      <c r="H50" s="4684"/>
    </row>
    <row r="51" spans="1:8" ht="12" customHeight="1">
      <c r="C51" s="431" t="s">
        <v>2754</v>
      </c>
      <c r="E51" s="4684"/>
      <c r="F51" s="4684"/>
      <c r="G51" s="4684"/>
      <c r="H51" s="4684"/>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2756073.2933073873</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4057</v>
      </c>
    </row>
    <row r="65" spans="1:7" ht="12" customHeight="1">
      <c r="E65" s="1015" t="s">
        <v>3021</v>
      </c>
      <c r="F65" s="1016" t="s">
        <v>3022</v>
      </c>
      <c r="G65" s="1015" t="s">
        <v>4058</v>
      </c>
    </row>
    <row r="66" spans="1:7" ht="12" customHeight="1">
      <c r="E66" s="1015" t="s">
        <v>3021</v>
      </c>
      <c r="F66" s="1016" t="s">
        <v>3022</v>
      </c>
      <c r="G66" s="1015" t="s">
        <v>4059</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409078</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126082</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9" t="s">
        <v>2893</v>
      </c>
      <c r="B1" s="4689"/>
      <c r="C1" s="4689"/>
      <c r="D1" s="4689"/>
      <c r="E1" s="4689"/>
      <c r="F1" s="4689"/>
      <c r="G1" s="4689"/>
      <c r="H1" s="4689"/>
      <c r="I1" s="4689"/>
      <c r="J1" s="4689"/>
    </row>
    <row r="2" spans="1:13" ht="15">
      <c r="A2" s="4689" t="str">
        <f>'Sensitivity Analysis'!E8&amp;"  "&amp;'Sensitivity Analysis'!C8</f>
        <v>2024-0  Wesley Square</v>
      </c>
      <c r="B2" s="4689"/>
      <c r="C2" s="4689"/>
      <c r="D2" s="4689"/>
      <c r="E2" s="4689"/>
      <c r="F2" s="4689"/>
      <c r="G2" s="4689"/>
      <c r="H2" s="4689"/>
      <c r="I2" s="4689"/>
      <c r="J2" s="4689"/>
    </row>
    <row r="3" spans="1:13" ht="6" customHeight="1">
      <c r="K3" s="4683" t="s">
        <v>3368</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8"/>
      <c r="E13" s="4688"/>
      <c r="F13" s="4688"/>
      <c r="G13" s="4688"/>
      <c r="H13" s="4688"/>
      <c r="I13" s="4688"/>
      <c r="J13" s="4688"/>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Wesley Square</v>
      </c>
      <c r="I28" s="549"/>
    </row>
    <row r="29" spans="1:9" ht="3" customHeight="1">
      <c r="C29" s="602"/>
      <c r="I29" s="549"/>
    </row>
    <row r="30" spans="1:9" ht="12" customHeight="1">
      <c r="A30" s="431" t="s">
        <v>2782</v>
      </c>
      <c r="C30" s="602">
        <f>'Preview term'!E16</f>
        <v>0</v>
      </c>
      <c r="I30" s="549"/>
    </row>
    <row r="31" spans="1:9">
      <c r="C31" s="549" t="str">
        <f>'Preview term'!E17</f>
        <v>Norcross</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4060</v>
      </c>
      <c r="C39" s="4690" t="str">
        <f>_xlfn.CONCAT('Part VII-Threshold Criteria OLD'!K192," and ",'Part VII-Threshold Criteria OLD'!K193)</f>
        <v>&lt;&lt;Select&gt;&gt; and &lt;&lt;Select&gt;&gt;</v>
      </c>
      <c r="D39" s="4690"/>
      <c r="E39" s="4690"/>
      <c r="F39" s="4690"/>
      <c r="G39" s="4690"/>
      <c r="H39" s="4690"/>
      <c r="I39" s="4690"/>
      <c r="J39" s="4690"/>
    </row>
    <row r="40" spans="1:10" ht="25.5" customHeight="1">
      <c r="A40" s="605" t="s">
        <v>4061</v>
      </c>
      <c r="C40" s="46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0"/>
      <c r="E40" s="4690"/>
      <c r="F40" s="4690"/>
      <c r="G40" s="4690"/>
      <c r="H40" s="4690"/>
      <c r="I40" s="4690"/>
      <c r="J40" s="4690"/>
    </row>
    <row r="41" spans="1:10" ht="3" customHeight="1">
      <c r="G41" s="549"/>
      <c r="H41" s="549"/>
      <c r="I41" s="549"/>
    </row>
    <row r="42" spans="1:10" ht="25.5" customHeight="1">
      <c r="A42" s="605" t="s">
        <v>2789</v>
      </c>
      <c r="C42" s="4690" t="s">
        <v>3023</v>
      </c>
      <c r="D42" s="4690"/>
      <c r="E42" s="4690"/>
      <c r="F42" s="4690"/>
      <c r="G42" s="4690"/>
      <c r="H42" s="4690"/>
      <c r="I42" s="4690"/>
      <c r="J42" s="4690"/>
    </row>
    <row r="43" spans="1:10" ht="3" customHeight="1">
      <c r="C43" s="437"/>
      <c r="D43" s="437"/>
      <c r="E43" s="437"/>
      <c r="F43" s="437"/>
      <c r="G43" s="437"/>
      <c r="H43" s="438"/>
      <c r="I43" s="438"/>
      <c r="J43" s="438"/>
    </row>
    <row r="44" spans="1:10" ht="12" customHeight="1">
      <c r="A44" s="431" t="s">
        <v>2790</v>
      </c>
      <c r="C44" s="503" t="str">
        <f>'Part I-Project Identification'!J27</f>
        <v>Gwinnett</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0" t="s">
        <v>532</v>
      </c>
      <c r="D50" s="4690"/>
      <c r="E50" s="4690"/>
      <c r="F50" s="4690"/>
      <c r="G50" s="4690"/>
      <c r="H50" s="4690"/>
      <c r="I50" s="4690"/>
      <c r="J50" s="4690"/>
    </row>
    <row r="51" spans="1:10" ht="12" customHeight="1">
      <c r="C51" s="4692" t="s">
        <v>1672</v>
      </c>
      <c r="D51" s="4692"/>
      <c r="E51" s="4692"/>
      <c r="F51" s="4692"/>
      <c r="G51" s="4692"/>
      <c r="H51" s="4692"/>
      <c r="I51" s="4692"/>
      <c r="J51" s="4692"/>
    </row>
    <row r="52" spans="1:10" ht="3" customHeight="1">
      <c r="D52" s="606"/>
      <c r="E52" s="606"/>
      <c r="F52" s="606"/>
      <c r="G52" s="606"/>
      <c r="H52" s="549"/>
      <c r="I52" s="606"/>
      <c r="J52" s="606"/>
    </row>
    <row r="53" spans="1:10" ht="12" customHeight="1">
      <c r="A53" s="605" t="s">
        <v>2794</v>
      </c>
      <c r="B53" s="605"/>
      <c r="C53" s="607" t="s">
        <v>2795</v>
      </c>
      <c r="D53" s="607" t="s">
        <v>3024</v>
      </c>
      <c r="E53" s="4693"/>
      <c r="F53" s="4693"/>
      <c r="G53" s="4693"/>
      <c r="H53" s="4693"/>
      <c r="I53" s="4693"/>
      <c r="J53" s="4693"/>
    </row>
    <row r="54" spans="1:10" ht="12" customHeight="1">
      <c r="A54" s="605"/>
      <c r="B54" s="605"/>
      <c r="C54" s="605"/>
      <c r="D54" s="607" t="s">
        <v>3025</v>
      </c>
      <c r="E54" s="4694"/>
      <c r="F54" s="4694"/>
      <c r="G54" s="4694"/>
      <c r="H54" s="4694"/>
      <c r="I54" s="4694"/>
      <c r="J54" s="4694"/>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16500000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8"/>
      <c r="E69" s="4688"/>
      <c r="F69" s="4688"/>
      <c r="G69" s="4688"/>
      <c r="H69" s="4688"/>
      <c r="I69" s="4688"/>
      <c r="J69" s="4688"/>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180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4062</v>
      </c>
      <c r="G84" s="549"/>
    </row>
    <row r="85" spans="1:9" ht="3" customHeight="1">
      <c r="G85" s="549"/>
      <c r="H85" s="549"/>
      <c r="I85" s="549"/>
    </row>
    <row r="86" spans="1:9" ht="12" customHeight="1">
      <c r="A86" s="431" t="s">
        <v>2816</v>
      </c>
      <c r="C86" s="1472">
        <f>'Subsidy Layering Memo'!L70</f>
        <v>2756073.2933073873</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Truist Bank</v>
      </c>
      <c r="I93" s="549"/>
    </row>
    <row r="94" spans="1:9" ht="12" customHeight="1">
      <c r="C94" s="608"/>
      <c r="D94" s="549"/>
      <c r="E94" s="608" t="s">
        <v>1665</v>
      </c>
      <c r="F94" s="4684"/>
      <c r="G94" s="4684"/>
      <c r="H94" s="4684"/>
      <c r="I94" s="549"/>
    </row>
    <row r="95" spans="1:9" ht="12" customHeight="1">
      <c r="C95" s="608"/>
      <c r="D95" s="549"/>
      <c r="E95" s="608" t="s">
        <v>1835</v>
      </c>
      <c r="F95" s="4695"/>
      <c r="G95" s="4695"/>
      <c r="H95" s="4695"/>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 xml:space="preserve">Grandbridge Real Estate Capital </v>
      </c>
      <c r="I97" s="549"/>
    </row>
    <row r="98" spans="1:10" ht="12" customHeight="1">
      <c r="C98" s="608"/>
      <c r="D98" s="549"/>
      <c r="E98" s="608" t="s">
        <v>1665</v>
      </c>
      <c r="F98" s="4684"/>
      <c r="G98" s="4684"/>
      <c r="H98" s="4684"/>
      <c r="I98" s="549"/>
    </row>
    <row r="99" spans="1:10" ht="12" customHeight="1">
      <c r="C99" s="608"/>
      <c r="D99" s="549"/>
      <c r="E99" s="608" t="s">
        <v>1835</v>
      </c>
      <c r="F99" s="4695"/>
      <c r="G99" s="4695"/>
      <c r="H99" s="4695"/>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6"/>
      <c r="E107" s="4696"/>
      <c r="F107" s="4696"/>
      <c r="G107" s="4696"/>
      <c r="H107" s="4696"/>
      <c r="I107" s="4696"/>
      <c r="J107" s="4697"/>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4063</v>
      </c>
      <c r="I114" s="549"/>
    </row>
    <row r="115" spans="1:10" ht="12" customHeight="1">
      <c r="C115" s="602" t="s">
        <v>4064</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7" t="s">
        <v>4065</v>
      </c>
      <c r="F120" s="4687"/>
      <c r="G120" s="4687"/>
      <c r="H120" s="4687"/>
      <c r="I120" s="4687"/>
      <c r="J120" s="4687"/>
    </row>
    <row r="121" spans="1:10" ht="12" customHeight="1">
      <c r="C121" s="549" t="s">
        <v>2833</v>
      </c>
      <c r="D121" s="980"/>
      <c r="E121" s="4687"/>
      <c r="F121" s="4687"/>
      <c r="G121" s="4687"/>
      <c r="H121" s="4687"/>
      <c r="I121" s="4687"/>
      <c r="J121" s="4687"/>
    </row>
    <row r="122" spans="1:10" ht="12" customHeight="1">
      <c r="C122" s="549" t="s">
        <v>2834</v>
      </c>
      <c r="D122" s="980"/>
      <c r="E122" s="4687"/>
      <c r="F122" s="4687"/>
      <c r="G122" s="4687"/>
      <c r="H122" s="4687"/>
      <c r="I122" s="4687"/>
      <c r="J122" s="4687"/>
    </row>
    <row r="123" spans="1:10" ht="12" customHeight="1">
      <c r="C123" s="549" t="s">
        <v>2834</v>
      </c>
      <c r="D123" s="980"/>
      <c r="E123" s="4687"/>
      <c r="F123" s="4687"/>
      <c r="G123" s="4687"/>
      <c r="H123" s="4687"/>
      <c r="I123" s="4687"/>
      <c r="J123" s="4687"/>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897745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8"/>
      <c r="F166" s="4688"/>
      <c r="G166" s="4688"/>
      <c r="I166" s="549"/>
    </row>
    <row r="167" spans="1:9" ht="3" customHeight="1">
      <c r="E167" s="549"/>
      <c r="G167" s="549"/>
      <c r="I167" s="549"/>
    </row>
    <row r="168" spans="1:9" ht="12" customHeight="1">
      <c r="A168" s="431" t="s">
        <v>2857</v>
      </c>
      <c r="C168" s="431" t="s">
        <v>2858</v>
      </c>
      <c r="E168" s="620">
        <f>'Preview term'!F74</f>
        <v>409078</v>
      </c>
      <c r="G168" s="549"/>
      <c r="I168" s="549"/>
    </row>
    <row r="169" spans="1:9" ht="12" customHeight="1">
      <c r="C169" s="431" t="s">
        <v>3030</v>
      </c>
      <c r="E169" s="4688"/>
      <c r="F169" s="4688"/>
      <c r="G169" s="4688"/>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21600</v>
      </c>
      <c r="F174" s="549" t="s">
        <v>2862</v>
      </c>
    </row>
    <row r="175" spans="1:9">
      <c r="E175" s="620">
        <f>E174/12</f>
        <v>1800</v>
      </c>
      <c r="F175" s="549" t="s">
        <v>2728</v>
      </c>
    </row>
    <row r="176" spans="1:9" ht="12" customHeight="1">
      <c r="C176" s="431" t="s">
        <v>3031</v>
      </c>
      <c r="E176" s="4688"/>
      <c r="F176" s="4688"/>
      <c r="G176" s="4688"/>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8"/>
      <c r="G181" s="4688"/>
      <c r="H181" s="4688"/>
      <c r="I181" s="4688"/>
      <c r="J181" s="4688"/>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126082</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86">
        <f>'Part VII-Threshold Criteria OLD'!E372</f>
        <v>0</v>
      </c>
      <c r="G199" s="4686"/>
      <c r="H199" s="4686"/>
      <c r="I199" s="4686"/>
      <c r="J199" s="4686"/>
    </row>
    <row r="200" spans="1:10" ht="9" customHeight="1">
      <c r="G200" s="549"/>
      <c r="H200" s="549"/>
      <c r="I200" s="549"/>
    </row>
    <row r="201" spans="1:10" ht="12" customHeight="1">
      <c r="A201" s="622" t="s">
        <v>2894</v>
      </c>
      <c r="G201" s="549"/>
      <c r="H201" s="549"/>
      <c r="I201" s="613"/>
    </row>
    <row r="202" spans="1:10" ht="25.5" hidden="1" customHeight="1">
      <c r="A202" s="4691" t="str">
        <f>'Subsidy Layering Memo'!A105</f>
        <v>Include any reserve requirements; explain any reserves far in excess of 6 month ODR, 3 mo lease up, 1 year RR, 6 mo T&amp;I standards.</v>
      </c>
      <c r="B202" s="4691"/>
      <c r="C202" s="4691"/>
      <c r="D202" s="4691"/>
      <c r="E202" s="4691"/>
      <c r="F202" s="4691"/>
      <c r="G202" s="4691"/>
      <c r="H202" s="4691"/>
      <c r="I202" s="4691"/>
      <c r="J202" s="4691"/>
    </row>
    <row r="203" spans="1:10">
      <c r="A203" s="549"/>
      <c r="G203" s="549"/>
      <c r="H203" s="549"/>
      <c r="I203" s="549"/>
    </row>
    <row r="204" spans="1:10" s="513" customFormat="1" ht="15">
      <c r="A204" s="519" t="s">
        <v>4052</v>
      </c>
    </row>
    <row r="205" spans="1:10" s="513" customFormat="1" ht="14.25" customHeight="1">
      <c r="A205"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9"/>
      <c r="C205" s="4649"/>
      <c r="D205" s="4649"/>
      <c r="E205" s="4649"/>
      <c r="F205" s="4649"/>
      <c r="G205" s="4649"/>
      <c r="H205" s="4649"/>
      <c r="I205" s="4649"/>
      <c r="J205" s="4649"/>
    </row>
    <row r="206" spans="1:10" s="513" customFormat="1" ht="14.25" customHeight="1">
      <c r="A206" s="4649"/>
      <c r="B206" s="4649"/>
      <c r="C206" s="4649"/>
      <c r="D206" s="4649"/>
      <c r="E206" s="4649"/>
      <c r="F206" s="4649"/>
      <c r="G206" s="4649"/>
      <c r="H206" s="4649"/>
      <c r="I206" s="4649"/>
      <c r="J206" s="4649"/>
    </row>
    <row r="207" spans="1:10" s="513" customFormat="1" ht="6.75" customHeight="1">
      <c r="A207" s="4649"/>
      <c r="B207" s="4649"/>
      <c r="C207" s="4649"/>
      <c r="D207" s="4649"/>
      <c r="E207" s="4649"/>
      <c r="F207" s="4649"/>
      <c r="G207" s="4649"/>
      <c r="H207" s="4649"/>
      <c r="I207" s="4649"/>
      <c r="J207" s="4649"/>
    </row>
    <row r="208" spans="1:10" s="513" customFormat="1" ht="21.75" customHeight="1">
      <c r="A208" s="4649"/>
      <c r="B208" s="4649"/>
      <c r="C208" s="4649"/>
      <c r="D208" s="4649"/>
      <c r="E208" s="4649"/>
      <c r="F208" s="4649"/>
      <c r="G208" s="4649"/>
      <c r="H208" s="4649"/>
      <c r="I208" s="4649"/>
      <c r="J208" s="4649"/>
    </row>
    <row r="209" spans="1:10" s="513" customFormat="1" ht="20.25" customHeight="1">
      <c r="A209" s="4649"/>
      <c r="B209" s="4649"/>
      <c r="C209" s="4649"/>
      <c r="D209" s="4649"/>
      <c r="E209" s="4649"/>
      <c r="F209" s="4649"/>
      <c r="G209" s="4649"/>
      <c r="H209" s="4649"/>
      <c r="I209" s="4649"/>
      <c r="J209" s="4649"/>
    </row>
    <row r="210" spans="1:10" s="513" customFormat="1" ht="54.75" customHeight="1">
      <c r="A210" s="4649"/>
      <c r="B210" s="4649"/>
      <c r="C210" s="4649"/>
      <c r="D210" s="4649"/>
      <c r="E210" s="4649"/>
      <c r="F210" s="4649"/>
      <c r="G210" s="4649"/>
      <c r="H210" s="4649"/>
      <c r="I210" s="4649"/>
      <c r="J210" s="4649"/>
    </row>
    <row r="211" spans="1:10" s="513" customFormat="1" ht="0.75" hidden="1" customHeight="1">
      <c r="A211" s="4649"/>
      <c r="B211" s="4649"/>
      <c r="C211" s="4649"/>
      <c r="D211" s="4649"/>
      <c r="E211" s="4649"/>
      <c r="F211" s="4649"/>
      <c r="G211" s="4649"/>
      <c r="H211" s="4649"/>
      <c r="I211" s="4649"/>
      <c r="J211" s="4649"/>
    </row>
    <row r="212" spans="1:10" s="513" customFormat="1" ht="3.75" hidden="1" customHeight="1">
      <c r="A212" s="4649"/>
      <c r="B212" s="4649"/>
      <c r="C212" s="4649"/>
      <c r="D212" s="4649"/>
      <c r="E212" s="4649"/>
      <c r="F212" s="4649"/>
      <c r="G212" s="4649"/>
      <c r="H212" s="4649"/>
      <c r="I212" s="4649"/>
      <c r="J212" s="4649"/>
    </row>
    <row r="213" spans="1:10" s="513" customFormat="1" ht="5.25" customHeight="1">
      <c r="A213" s="1192"/>
      <c r="B213" s="1192"/>
      <c r="C213" s="1192"/>
      <c r="D213" s="1192"/>
      <c r="E213" s="1192"/>
      <c r="F213" s="1192"/>
      <c r="G213" s="1192"/>
      <c r="H213" s="1192"/>
      <c r="I213" s="1192"/>
      <c r="J213" s="1192"/>
    </row>
    <row r="214" spans="1:10" s="513" customFormat="1" ht="19.5" customHeight="1">
      <c r="A214" s="4648" t="s">
        <v>4055</v>
      </c>
      <c r="B214" s="4648"/>
      <c r="C214" s="4648"/>
      <c r="D214" s="1190"/>
      <c r="E214" s="1190"/>
      <c r="F214" s="1190"/>
      <c r="G214" s="1190"/>
      <c r="H214" s="1190"/>
      <c r="I214" s="1190"/>
      <c r="J214" s="1190"/>
    </row>
    <row r="215" spans="1:10" s="513" customFormat="1" ht="22.5" customHeight="1">
      <c r="A215" s="4645" t="str">
        <f>'Subsidy Layering Memo'!A37</f>
        <v>1)</v>
      </c>
      <c r="B215" s="4645"/>
      <c r="C215" s="4645"/>
      <c r="D215" s="4645"/>
      <c r="E215" s="4645"/>
      <c r="F215" s="4645"/>
      <c r="G215" s="4645"/>
      <c r="H215" s="4645"/>
      <c r="I215" s="4645"/>
      <c r="J215" s="4645"/>
    </row>
    <row r="216" spans="1:10" s="513" customFormat="1" ht="22.5" customHeight="1">
      <c r="A216" s="4645" t="str">
        <f>'Subsidy Layering Memo'!A38</f>
        <v>2)</v>
      </c>
      <c r="B216" s="4645"/>
      <c r="C216" s="4645"/>
      <c r="D216" s="4645"/>
      <c r="E216" s="4645"/>
      <c r="F216" s="4645"/>
      <c r="G216" s="4645"/>
      <c r="H216" s="4645"/>
      <c r="I216" s="4645"/>
      <c r="J216" s="4645"/>
    </row>
    <row r="217" spans="1:10" s="513" customFormat="1" ht="22.5" customHeight="1">
      <c r="A217" s="4645" t="str">
        <f>'Subsidy Layering Memo'!A39</f>
        <v>3)</v>
      </c>
      <c r="B217" s="4645"/>
      <c r="C217" s="4645"/>
      <c r="D217" s="4645"/>
      <c r="E217" s="4645"/>
      <c r="F217" s="4645"/>
      <c r="G217" s="4645"/>
      <c r="H217" s="4645"/>
      <c r="I217" s="4645"/>
      <c r="J217" s="4645"/>
    </row>
    <row r="218" spans="1:10" s="513" customFormat="1" ht="22.5" customHeight="1">
      <c r="A218" s="4645" t="str">
        <f>'Subsidy Layering Memo'!A40</f>
        <v>4)</v>
      </c>
      <c r="B218" s="4645"/>
      <c r="C218" s="4645"/>
      <c r="D218" s="4645"/>
      <c r="E218" s="4645"/>
      <c r="F218" s="4645"/>
      <c r="G218" s="4645"/>
      <c r="H218" s="4645"/>
      <c r="I218" s="4645"/>
      <c r="J218" s="4645"/>
    </row>
    <row r="219" spans="1:10" s="513" customFormat="1" ht="22.5" customHeight="1">
      <c r="A219" s="4645" t="str">
        <f>'Subsidy Layering Memo'!A41</f>
        <v>5)</v>
      </c>
      <c r="B219" s="4645"/>
      <c r="C219" s="4645"/>
      <c r="D219" s="4645"/>
      <c r="E219" s="4645"/>
      <c r="F219" s="4645"/>
      <c r="G219" s="4645"/>
      <c r="H219" s="4645"/>
      <c r="I219" s="4645"/>
      <c r="J219" s="4645"/>
    </row>
    <row r="220" spans="1:10" s="513" customFormat="1" ht="22.5" customHeight="1">
      <c r="A220" s="4645" t="str">
        <f>'Subsidy Layering Memo'!A42</f>
        <v>6)</v>
      </c>
      <c r="B220" s="4645"/>
      <c r="C220" s="4645"/>
      <c r="D220" s="4645"/>
      <c r="E220" s="4645"/>
      <c r="F220" s="4645"/>
      <c r="G220" s="4645"/>
      <c r="H220" s="4645"/>
      <c r="I220" s="4645"/>
      <c r="J220" s="4645"/>
    </row>
    <row r="221" spans="1:10" s="513" customFormat="1" ht="22.5" customHeight="1">
      <c r="A221" s="4645" t="str">
        <f>'Subsidy Layering Memo'!A43</f>
        <v>7)</v>
      </c>
      <c r="B221" s="4645"/>
      <c r="C221" s="4645"/>
      <c r="D221" s="4645"/>
      <c r="E221" s="4645"/>
      <c r="F221" s="4645"/>
      <c r="G221" s="4645"/>
      <c r="H221" s="4645"/>
      <c r="I221" s="4645"/>
      <c r="J221" s="4645"/>
    </row>
    <row r="222" spans="1:10" s="513" customFormat="1" ht="22.5" customHeight="1">
      <c r="A222" s="4645" t="str">
        <f>'Subsidy Layering Memo'!A44</f>
        <v>8)</v>
      </c>
      <c r="B222" s="4645"/>
      <c r="C222" s="4645"/>
      <c r="D222" s="4645"/>
      <c r="E222" s="4645"/>
      <c r="F222" s="4645"/>
      <c r="G222" s="4645"/>
      <c r="H222" s="4645"/>
      <c r="I222" s="4645"/>
      <c r="J222" s="464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77" t="str">
        <f>'Part I-Project Identification'!F26</f>
        <v>Wesley Square</v>
      </c>
      <c r="E3" s="4078"/>
      <c r="F3" s="4078"/>
      <c r="G3" s="4078"/>
      <c r="H3" s="4078"/>
      <c r="I3" s="4078"/>
      <c r="J3" s="4727" t="s">
        <v>3840</v>
      </c>
      <c r="K3" s="4728"/>
    </row>
    <row r="4" spans="1:11" ht="15" customHeight="1">
      <c r="A4" s="1269" t="s">
        <v>3838</v>
      </c>
      <c r="B4" s="1270"/>
      <c r="C4" s="1271"/>
      <c r="D4" s="4723">
        <f>'Preview term'!$E$16</f>
        <v>0</v>
      </c>
      <c r="E4" s="4724"/>
      <c r="F4" s="4724"/>
      <c r="G4" s="4724"/>
      <c r="H4" s="4724"/>
      <c r="I4" s="4724"/>
      <c r="J4" s="4083" t="s">
        <v>3879</v>
      </c>
      <c r="K4" s="4084"/>
    </row>
    <row r="5" spans="1:11" ht="15" customHeight="1" thickBot="1">
      <c r="A5" s="1272" t="s">
        <v>3839</v>
      </c>
      <c r="B5" s="1273"/>
      <c r="C5" s="1274"/>
      <c r="D5" s="4725"/>
      <c r="E5" s="4726"/>
      <c r="F5" s="4726"/>
      <c r="G5" s="4726"/>
      <c r="H5" s="4726"/>
      <c r="I5" s="4726"/>
      <c r="J5" s="4085"/>
      <c r="K5" s="4086"/>
    </row>
    <row r="6" spans="1:11" ht="9" customHeight="1" thickBot="1">
      <c r="E6" s="1264"/>
    </row>
    <row r="7" spans="1:11">
      <c r="A7" s="4071" t="s">
        <v>3841</v>
      </c>
      <c r="B7" s="4072"/>
      <c r="C7" s="4072"/>
      <c r="D7" s="4072"/>
      <c r="E7" s="4072"/>
      <c r="F7" s="4072"/>
      <c r="G7" s="4072"/>
      <c r="H7" s="4072"/>
      <c r="I7" s="4072"/>
      <c r="J7" s="4072"/>
      <c r="K7" s="4073"/>
    </row>
    <row r="8" spans="1:11" ht="14.25" customHeight="1">
      <c r="A8" s="1270"/>
      <c r="B8" s="1270"/>
      <c r="C8" s="1302">
        <v>1</v>
      </c>
      <c r="D8" s="1289" t="s">
        <v>3842</v>
      </c>
      <c r="E8" s="1289"/>
      <c r="F8" s="1289"/>
      <c r="G8" s="1289"/>
      <c r="H8" s="1289"/>
      <c r="I8" s="1289"/>
      <c r="J8" s="4704"/>
      <c r="K8" s="4705"/>
    </row>
    <row r="9" spans="1:11" ht="7.15" customHeight="1">
      <c r="A9" s="4067"/>
      <c r="B9" s="4067"/>
      <c r="C9" s="4067"/>
      <c r="D9" s="4068"/>
      <c r="E9" s="4068"/>
      <c r="F9" s="4068"/>
      <c r="G9" s="4068"/>
      <c r="H9" s="4068"/>
      <c r="I9" s="4068"/>
      <c r="J9" s="4068"/>
      <c r="K9" s="1290"/>
    </row>
    <row r="10" spans="1:11">
      <c r="A10" s="4093" t="s">
        <v>3843</v>
      </c>
      <c r="B10" s="4094"/>
      <c r="C10" s="4094"/>
      <c r="D10" s="4094"/>
      <c r="E10" s="4094"/>
      <c r="F10" s="4094"/>
      <c r="G10" s="4094"/>
      <c r="H10" s="4094"/>
      <c r="I10" s="4094"/>
      <c r="J10" s="4094"/>
      <c r="K10" s="4095"/>
    </row>
    <row r="11" spans="1:11" ht="14.25" customHeight="1">
      <c r="A11" s="1270"/>
      <c r="B11" s="1270"/>
      <c r="C11" s="1302">
        <v>2</v>
      </c>
      <c r="D11" s="1289" t="s">
        <v>3844</v>
      </c>
      <c r="E11" s="1291"/>
      <c r="F11" s="1291"/>
      <c r="G11" s="1291"/>
      <c r="H11" s="1291"/>
      <c r="I11" s="1291"/>
      <c r="J11" s="4702"/>
      <c r="K11" s="4703"/>
    </row>
    <row r="12" spans="1:11" ht="7.15" customHeight="1">
      <c r="A12" s="4067"/>
      <c r="B12" s="4067"/>
      <c r="C12" s="4067"/>
      <c r="D12" s="4068"/>
      <c r="E12" s="4068"/>
      <c r="F12" s="4068"/>
      <c r="G12" s="4068"/>
      <c r="H12" s="4068"/>
      <c r="I12" s="4068"/>
      <c r="J12" s="4068"/>
      <c r="K12" s="1292"/>
    </row>
    <row r="13" spans="1:11">
      <c r="A13" s="4093" t="s">
        <v>3845</v>
      </c>
      <c r="B13" s="4094"/>
      <c r="C13" s="4094"/>
      <c r="D13" s="4094"/>
      <c r="E13" s="4094"/>
      <c r="F13" s="4094"/>
      <c r="G13" s="4094"/>
      <c r="H13" s="4094"/>
      <c r="I13" s="4094"/>
      <c r="J13" s="4094"/>
      <c r="K13" s="4095"/>
    </row>
    <row r="14" spans="1:11" ht="14.25" customHeight="1">
      <c r="A14" s="1270"/>
      <c r="B14" s="1270"/>
      <c r="C14" s="1303">
        <v>3</v>
      </c>
      <c r="D14" s="1293" t="s">
        <v>3846</v>
      </c>
      <c r="E14" s="1293"/>
      <c r="F14" s="1293"/>
      <c r="G14" s="1293"/>
      <c r="H14" s="1293"/>
      <c r="I14" s="1293"/>
      <c r="J14" s="4700"/>
      <c r="K14" s="4701"/>
    </row>
    <row r="15" spans="1:11" ht="14.25" customHeight="1">
      <c r="A15" s="1270"/>
      <c r="B15" s="1270"/>
      <c r="C15" s="1304">
        <v>4</v>
      </c>
      <c r="D15" s="1270" t="s">
        <v>3847</v>
      </c>
      <c r="E15" s="1270"/>
      <c r="F15" s="1270"/>
      <c r="G15" s="1270"/>
      <c r="H15" s="1270"/>
      <c r="I15" s="1270"/>
      <c r="J15" s="4698"/>
      <c r="K15" s="4699"/>
    </row>
    <row r="16" spans="1:11" ht="14.25" customHeight="1">
      <c r="A16" s="1270"/>
      <c r="B16" s="1270"/>
      <c r="C16" s="1304">
        <v>5</v>
      </c>
      <c r="D16" s="1270" t="s">
        <v>3848</v>
      </c>
      <c r="E16" s="1270"/>
      <c r="F16" s="1270"/>
      <c r="G16" s="1270"/>
      <c r="H16" s="1270"/>
      <c r="I16" s="1270"/>
      <c r="J16" s="4698"/>
      <c r="K16" s="4699"/>
    </row>
    <row r="17" spans="1:13" ht="14.25" customHeight="1">
      <c r="A17" s="1270"/>
      <c r="B17" s="1270"/>
      <c r="C17" s="1305">
        <v>6</v>
      </c>
      <c r="D17" s="1273" t="s">
        <v>3849</v>
      </c>
      <c r="E17" s="1273"/>
      <c r="F17" s="1273"/>
      <c r="G17" s="1273"/>
      <c r="H17" s="1273"/>
      <c r="I17" s="1273"/>
      <c r="J17" s="4706"/>
      <c r="K17" s="4707"/>
    </row>
    <row r="18" spans="1:13" ht="7.15" customHeight="1">
      <c r="A18" s="4067"/>
      <c r="B18" s="4067"/>
      <c r="C18" s="4067"/>
      <c r="D18" s="4068"/>
      <c r="E18" s="4068"/>
      <c r="F18" s="4068"/>
      <c r="G18" s="4068"/>
      <c r="H18" s="4068"/>
      <c r="I18" s="4068"/>
      <c r="J18" s="4068"/>
      <c r="K18" s="1292"/>
    </row>
    <row r="19" spans="1:13" ht="14.25" customHeight="1">
      <c r="A19" s="1270"/>
      <c r="B19" s="1270"/>
      <c r="C19" s="1303">
        <v>7</v>
      </c>
      <c r="D19" s="1293" t="s">
        <v>3850</v>
      </c>
      <c r="E19" s="1293"/>
      <c r="F19" s="1293"/>
      <c r="G19" s="1293"/>
      <c r="H19" s="1293"/>
      <c r="I19" s="1293"/>
      <c r="J19" s="4089" t="str">
        <f>IF(J17="No",J14-J15,IF(J17="Yes",J14-J15-J16,"Error"))</f>
        <v>Error</v>
      </c>
      <c r="K19" s="4090"/>
    </row>
    <row r="20" spans="1:13" ht="14.25" customHeight="1">
      <c r="A20" s="1270"/>
      <c r="B20" s="1270"/>
      <c r="C20" s="1305">
        <v>8</v>
      </c>
      <c r="D20" s="1273" t="s">
        <v>3851</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302">
        <v>9</v>
      </c>
      <c r="D22" s="1294" t="s">
        <v>3852</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3883</v>
      </c>
      <c r="B30" s="4055"/>
      <c r="C30" s="4055"/>
      <c r="D30" s="4055"/>
      <c r="E30" s="4055"/>
      <c r="F30" s="4055"/>
      <c r="G30" s="4055"/>
      <c r="H30" s="4055"/>
      <c r="I30" s="4055"/>
      <c r="J30" s="4055"/>
      <c r="K30" s="4056"/>
    </row>
    <row r="31" spans="1:13">
      <c r="B31" s="4712" t="s">
        <v>3840</v>
      </c>
      <c r="C31" s="4712"/>
      <c r="D31" s="4712"/>
      <c r="E31" s="4712"/>
      <c r="F31" s="4712"/>
      <c r="G31" s="4058" t="s">
        <v>3854</v>
      </c>
      <c r="H31" s="4059"/>
      <c r="I31" s="4059"/>
      <c r="J31" s="4059"/>
      <c r="K31" s="4060"/>
    </row>
    <row r="32" spans="1:13" ht="56.25" customHeight="1">
      <c r="A32" s="1288"/>
      <c r="B32" s="1306" t="s">
        <v>3882</v>
      </c>
      <c r="C32" s="1307" t="s">
        <v>3878</v>
      </c>
      <c r="D32" s="1307" t="s">
        <v>3877</v>
      </c>
      <c r="E32" s="4061" t="s">
        <v>3998</v>
      </c>
      <c r="F32" s="4062"/>
      <c r="G32" s="1308" t="s">
        <v>3855</v>
      </c>
      <c r="H32" s="1308" t="s">
        <v>3856</v>
      </c>
      <c r="J32" s="1308" t="s">
        <v>3857</v>
      </c>
      <c r="K32" s="1308" t="s">
        <v>3858</v>
      </c>
      <c r="L32" s="4047" t="s">
        <v>3859</v>
      </c>
      <c r="M32" s="4047"/>
    </row>
    <row r="33" spans="2:14" ht="12.75" customHeight="1">
      <c r="B33" s="1409"/>
      <c r="C33" s="1410"/>
      <c r="D33" s="1411"/>
      <c r="E33" s="4721"/>
      <c r="F33" s="4722"/>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12"/>
      <c r="C34" s="1413"/>
      <c r="D34" s="1414"/>
      <c r="E34" s="4710"/>
      <c r="F34" s="4711"/>
      <c r="G34" s="1328" t="e">
        <f t="shared" si="0"/>
        <v>#VALUE!</v>
      </c>
      <c r="H34" s="1329" t="e">
        <f t="shared" ref="H34:H51" si="3">ROUNDUP(G34,0)</f>
        <v>#VALUE!</v>
      </c>
      <c r="I34" s="1326"/>
      <c r="J34" s="1330" t="e">
        <f t="shared" si="1"/>
        <v>#VALUE!</v>
      </c>
      <c r="K34" s="1330" t="e">
        <f t="shared" si="2"/>
        <v>#VALUE!</v>
      </c>
      <c r="L34" s="4047"/>
      <c r="M34" s="4047"/>
    </row>
    <row r="35" spans="2:14" ht="12.75" customHeight="1">
      <c r="B35" s="1412"/>
      <c r="C35" s="1413"/>
      <c r="D35" s="1414"/>
      <c r="E35" s="4710"/>
      <c r="F35" s="4711"/>
      <c r="G35" s="1328" t="e">
        <f t="shared" si="0"/>
        <v>#VALUE!</v>
      </c>
      <c r="H35" s="1329" t="e">
        <f t="shared" si="3"/>
        <v>#VALUE!</v>
      </c>
      <c r="I35" s="1326"/>
      <c r="J35" s="1330" t="e">
        <f t="shared" si="1"/>
        <v>#VALUE!</v>
      </c>
      <c r="K35" s="1330" t="e">
        <f t="shared" si="2"/>
        <v>#VALUE!</v>
      </c>
      <c r="L35" s="4047"/>
      <c r="M35" s="4047"/>
    </row>
    <row r="36" spans="2:14" ht="12.75" customHeight="1">
      <c r="B36" s="1412"/>
      <c r="C36" s="1413"/>
      <c r="D36" s="1414"/>
      <c r="E36" s="4710"/>
      <c r="F36" s="4711"/>
      <c r="G36" s="1328" t="e">
        <f t="shared" si="0"/>
        <v>#VALUE!</v>
      </c>
      <c r="H36" s="1329" t="e">
        <f t="shared" si="3"/>
        <v>#VALUE!</v>
      </c>
      <c r="I36" s="1326"/>
      <c r="J36" s="1330" t="e">
        <f t="shared" si="1"/>
        <v>#VALUE!</v>
      </c>
      <c r="K36" s="1330" t="e">
        <f t="shared" si="2"/>
        <v>#VALUE!</v>
      </c>
      <c r="L36" s="4047"/>
      <c r="M36" s="4047"/>
      <c r="N36" s="1283"/>
    </row>
    <row r="37" spans="2:14" ht="12.75" customHeight="1">
      <c r="B37" s="1412"/>
      <c r="C37" s="1413"/>
      <c r="D37" s="1414"/>
      <c r="E37" s="4710"/>
      <c r="F37" s="4711"/>
      <c r="G37" s="1328" t="e">
        <f t="shared" si="0"/>
        <v>#VALUE!</v>
      </c>
      <c r="H37" s="1329" t="e">
        <f t="shared" si="3"/>
        <v>#VALUE!</v>
      </c>
      <c r="I37" s="1326"/>
      <c r="J37" s="1330" t="e">
        <f t="shared" si="1"/>
        <v>#VALUE!</v>
      </c>
      <c r="K37" s="1330" t="e">
        <f t="shared" si="2"/>
        <v>#VALUE!</v>
      </c>
      <c r="L37" s="4047"/>
      <c r="M37" s="4047"/>
    </row>
    <row r="38" spans="2:14" ht="12.75" customHeight="1">
      <c r="B38" s="1412"/>
      <c r="C38" s="1413"/>
      <c r="D38" s="1414"/>
      <c r="E38" s="4710"/>
      <c r="F38" s="4711"/>
      <c r="G38" s="1328" t="e">
        <f t="shared" si="0"/>
        <v>#VALUE!</v>
      </c>
      <c r="H38" s="1329" t="e">
        <f t="shared" si="3"/>
        <v>#VALUE!</v>
      </c>
      <c r="I38" s="1326"/>
      <c r="J38" s="1330" t="e">
        <f t="shared" si="1"/>
        <v>#VALUE!</v>
      </c>
      <c r="K38" s="1330" t="e">
        <f t="shared" si="2"/>
        <v>#VALUE!</v>
      </c>
      <c r="L38" s="4047"/>
      <c r="M38" s="4047"/>
    </row>
    <row r="39" spans="2:14" ht="12.75" customHeight="1">
      <c r="B39" s="1412"/>
      <c r="C39" s="1413"/>
      <c r="D39" s="1414"/>
      <c r="E39" s="4710"/>
      <c r="F39" s="4711"/>
      <c r="G39" s="1328" t="e">
        <f t="shared" si="0"/>
        <v>#VALUE!</v>
      </c>
      <c r="H39" s="1329" t="e">
        <f t="shared" si="3"/>
        <v>#VALUE!</v>
      </c>
      <c r="I39" s="1326"/>
      <c r="J39" s="1330" t="e">
        <f t="shared" si="1"/>
        <v>#VALUE!</v>
      </c>
      <c r="K39" s="1330" t="e">
        <f t="shared" si="2"/>
        <v>#VALUE!</v>
      </c>
      <c r="L39" s="4047"/>
      <c r="M39" s="4047"/>
    </row>
    <row r="40" spans="2:14" ht="12.75" customHeight="1">
      <c r="B40" s="1412"/>
      <c r="C40" s="1413"/>
      <c r="D40" s="1414"/>
      <c r="E40" s="4710"/>
      <c r="F40" s="4711"/>
      <c r="G40" s="1328" t="e">
        <f t="shared" si="0"/>
        <v>#VALUE!</v>
      </c>
      <c r="H40" s="1329" t="e">
        <f t="shared" si="3"/>
        <v>#VALUE!</v>
      </c>
      <c r="I40" s="1326"/>
      <c r="J40" s="1330" t="e">
        <f t="shared" si="1"/>
        <v>#VALUE!</v>
      </c>
      <c r="K40" s="1330" t="e">
        <f t="shared" si="2"/>
        <v>#VALUE!</v>
      </c>
      <c r="L40" s="4047"/>
      <c r="M40" s="4047"/>
    </row>
    <row r="41" spans="2:14" ht="12.75" customHeight="1">
      <c r="B41" s="1412"/>
      <c r="C41" s="1413"/>
      <c r="D41" s="1414"/>
      <c r="E41" s="4710"/>
      <c r="F41" s="4711"/>
      <c r="G41" s="1328" t="e">
        <f t="shared" si="0"/>
        <v>#VALUE!</v>
      </c>
      <c r="H41" s="1329" t="e">
        <f t="shared" si="3"/>
        <v>#VALUE!</v>
      </c>
      <c r="I41" s="1326"/>
      <c r="J41" s="1330" t="e">
        <f t="shared" si="1"/>
        <v>#VALUE!</v>
      </c>
      <c r="K41" s="1330" t="e">
        <f t="shared" si="2"/>
        <v>#VALUE!</v>
      </c>
      <c r="L41" s="4047"/>
      <c r="M41" s="4047"/>
    </row>
    <row r="42" spans="2:14" ht="12.75" customHeight="1">
      <c r="B42" s="1412"/>
      <c r="C42" s="1413"/>
      <c r="D42" s="1414"/>
      <c r="E42" s="4710"/>
      <c r="F42" s="4711"/>
      <c r="G42" s="1328" t="e">
        <f t="shared" si="0"/>
        <v>#VALUE!</v>
      </c>
      <c r="H42" s="1329" t="e">
        <f>ROUNDUP(G42,0)</f>
        <v>#VALUE!</v>
      </c>
      <c r="I42" s="1326"/>
      <c r="J42" s="1330" t="e">
        <f t="shared" si="1"/>
        <v>#VALUE!</v>
      </c>
      <c r="K42" s="1330" t="e">
        <f t="shared" si="2"/>
        <v>#VALUE!</v>
      </c>
      <c r="L42" s="4047"/>
      <c r="M42" s="4047"/>
    </row>
    <row r="43" spans="2:14" ht="12.75" customHeight="1">
      <c r="B43" s="1412"/>
      <c r="C43" s="1413"/>
      <c r="D43" s="1414"/>
      <c r="E43" s="4710"/>
      <c r="F43" s="4711"/>
      <c r="G43" s="1328" t="e">
        <f t="shared" si="0"/>
        <v>#VALUE!</v>
      </c>
      <c r="H43" s="1329" t="e">
        <f>ROUNDUP(G43,0)</f>
        <v>#VALUE!</v>
      </c>
      <c r="I43" s="1326"/>
      <c r="J43" s="1330" t="e">
        <f t="shared" si="1"/>
        <v>#VALUE!</v>
      </c>
      <c r="K43" s="1330" t="e">
        <f t="shared" si="2"/>
        <v>#VALUE!</v>
      </c>
      <c r="L43" s="4047"/>
      <c r="M43" s="4047"/>
    </row>
    <row r="44" spans="2:14" ht="12.75" customHeight="1">
      <c r="B44" s="1412"/>
      <c r="C44" s="1413"/>
      <c r="D44" s="1414"/>
      <c r="E44" s="4710"/>
      <c r="F44" s="4711"/>
      <c r="G44" s="1328" t="e">
        <f t="shared" si="0"/>
        <v>#VALUE!</v>
      </c>
      <c r="H44" s="1329" t="e">
        <f>ROUNDUP(G44,0)</f>
        <v>#VALUE!</v>
      </c>
      <c r="I44" s="1326"/>
      <c r="J44" s="1330" t="e">
        <f t="shared" si="1"/>
        <v>#VALUE!</v>
      </c>
      <c r="K44" s="1330" t="e">
        <f t="shared" si="2"/>
        <v>#VALUE!</v>
      </c>
      <c r="L44" s="4047"/>
      <c r="M44" s="4047"/>
    </row>
    <row r="45" spans="2:14" ht="12.75" customHeight="1">
      <c r="B45" s="1412"/>
      <c r="C45" s="1413"/>
      <c r="D45" s="1414"/>
      <c r="E45" s="4710"/>
      <c r="F45" s="4711"/>
      <c r="G45" s="1328" t="e">
        <f t="shared" si="0"/>
        <v>#VALUE!</v>
      </c>
      <c r="H45" s="1329" t="e">
        <f>ROUNDUP(G45,0)</f>
        <v>#VALUE!</v>
      </c>
      <c r="I45" s="1326"/>
      <c r="J45" s="1330" t="e">
        <f t="shared" si="1"/>
        <v>#VALUE!</v>
      </c>
      <c r="K45" s="1330" t="e">
        <f t="shared" si="2"/>
        <v>#VALUE!</v>
      </c>
      <c r="L45" s="4047"/>
      <c r="M45" s="4047"/>
    </row>
    <row r="46" spans="2:14" ht="12.75" customHeight="1">
      <c r="B46" s="1412"/>
      <c r="C46" s="1413"/>
      <c r="D46" s="1414"/>
      <c r="E46" s="4710"/>
      <c r="F46" s="4711"/>
      <c r="G46" s="1328" t="e">
        <f t="shared" si="0"/>
        <v>#VALUE!</v>
      </c>
      <c r="H46" s="1329" t="e">
        <f t="shared" si="3"/>
        <v>#VALUE!</v>
      </c>
      <c r="I46" s="1326"/>
      <c r="J46" s="1330" t="e">
        <f t="shared" si="1"/>
        <v>#VALUE!</v>
      </c>
      <c r="K46" s="1330" t="e">
        <f t="shared" si="2"/>
        <v>#VALUE!</v>
      </c>
      <c r="L46" s="4047"/>
      <c r="M46" s="4047"/>
    </row>
    <row r="47" spans="2:14" ht="12.75" customHeight="1">
      <c r="B47" s="1412"/>
      <c r="C47" s="1413"/>
      <c r="D47" s="1414"/>
      <c r="E47" s="4710"/>
      <c r="F47" s="4711"/>
      <c r="G47" s="1328" t="e">
        <f t="shared" si="0"/>
        <v>#VALUE!</v>
      </c>
      <c r="H47" s="1329" t="e">
        <f t="shared" si="3"/>
        <v>#VALUE!</v>
      </c>
      <c r="I47" s="1326"/>
      <c r="J47" s="1330" t="e">
        <f t="shared" si="1"/>
        <v>#VALUE!</v>
      </c>
      <c r="K47" s="1330" t="e">
        <f t="shared" si="2"/>
        <v>#VALUE!</v>
      </c>
      <c r="L47" s="4047"/>
      <c r="M47" s="4047"/>
    </row>
    <row r="48" spans="2:14" ht="12.75" customHeight="1">
      <c r="B48" s="1412"/>
      <c r="C48" s="1413"/>
      <c r="D48" s="1414"/>
      <c r="E48" s="4710"/>
      <c r="F48" s="4711"/>
      <c r="G48" s="1328" t="e">
        <f t="shared" si="0"/>
        <v>#VALUE!</v>
      </c>
      <c r="H48" s="1329" t="e">
        <f>ROUNDUP(G48,0)</f>
        <v>#VALUE!</v>
      </c>
      <c r="I48" s="1326"/>
      <c r="J48" s="1330" t="e">
        <f t="shared" si="1"/>
        <v>#VALUE!</v>
      </c>
      <c r="K48" s="1330" t="e">
        <f t="shared" si="2"/>
        <v>#VALUE!</v>
      </c>
      <c r="L48" s="4047"/>
      <c r="M48" s="4047"/>
    </row>
    <row r="49" spans="1:13" ht="12.75" customHeight="1">
      <c r="B49" s="1412"/>
      <c r="C49" s="1413"/>
      <c r="D49" s="1414"/>
      <c r="E49" s="4710"/>
      <c r="F49" s="4711"/>
      <c r="G49" s="1328" t="e">
        <f t="shared" si="0"/>
        <v>#VALUE!</v>
      </c>
      <c r="H49" s="1329" t="e">
        <f t="shared" si="3"/>
        <v>#VALUE!</v>
      </c>
      <c r="I49" s="1326"/>
      <c r="J49" s="1330" t="e">
        <f t="shared" si="1"/>
        <v>#VALUE!</v>
      </c>
      <c r="K49" s="1330" t="e">
        <f t="shared" si="2"/>
        <v>#VALUE!</v>
      </c>
      <c r="L49" s="4047"/>
      <c r="M49" s="4047"/>
    </row>
    <row r="50" spans="1:13" ht="12.75" customHeight="1">
      <c r="B50" s="1412"/>
      <c r="C50" s="1413"/>
      <c r="D50" s="1414"/>
      <c r="E50" s="4710"/>
      <c r="F50" s="4711"/>
      <c r="G50" s="1328" t="e">
        <f t="shared" si="0"/>
        <v>#VALUE!</v>
      </c>
      <c r="H50" s="1329" t="e">
        <f t="shared" si="3"/>
        <v>#VALUE!</v>
      </c>
      <c r="I50" s="1326"/>
      <c r="J50" s="1330" t="e">
        <f t="shared" si="1"/>
        <v>#VALUE!</v>
      </c>
      <c r="K50" s="1330" t="e">
        <f t="shared" si="2"/>
        <v>#VALUE!</v>
      </c>
      <c r="L50" s="4047"/>
      <c r="M50" s="4047"/>
    </row>
    <row r="51" spans="1:13" ht="12.75" customHeight="1" thickBot="1">
      <c r="B51" s="1415"/>
      <c r="C51" s="1416"/>
      <c r="D51" s="1417"/>
      <c r="E51" s="4708"/>
      <c r="F51" s="4709"/>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3860</v>
      </c>
      <c r="H52" s="1309" t="e">
        <f>SUM(H33:H51)</f>
        <v>#VALUE!</v>
      </c>
      <c r="I52" s="1293"/>
      <c r="J52" s="1299" t="s">
        <v>3861</v>
      </c>
      <c r="K52" s="1295" t="e">
        <f>SUM(K33:K51)</f>
        <v>#VALUE!</v>
      </c>
      <c r="L52" s="4047"/>
      <c r="M52" s="4047"/>
    </row>
    <row r="53" spans="1:13" ht="15" customHeight="1">
      <c r="B53" s="1300"/>
      <c r="C53" s="4050" t="s">
        <v>3862</v>
      </c>
      <c r="D53" s="4050"/>
      <c r="E53" s="4050"/>
      <c r="F53" s="4050"/>
      <c r="G53" s="4050"/>
      <c r="H53" s="4050"/>
      <c r="I53" s="4050"/>
      <c r="J53" s="4051"/>
      <c r="K53" s="1301" t="str">
        <f>IF(J17="no",0,IF(J17="yes",J16,"Error"))</f>
        <v>Error</v>
      </c>
      <c r="L53" s="4047"/>
      <c r="M53" s="4047"/>
    </row>
    <row r="54" spans="1:13" ht="15" customHeight="1" thickBot="1">
      <c r="B54" s="1300"/>
      <c r="C54" s="4031" t="s">
        <v>3863</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3864</v>
      </c>
      <c r="B56" s="4029"/>
      <c r="C56" s="4029"/>
      <c r="D56" s="4029"/>
      <c r="E56" s="4029"/>
      <c r="F56" s="4029"/>
      <c r="G56" s="4029"/>
      <c r="H56" s="4029"/>
      <c r="I56" s="4029"/>
      <c r="J56" s="4029"/>
      <c r="K56" s="4030"/>
    </row>
    <row r="57" spans="1:13" ht="48" customHeight="1">
      <c r="A57" s="1285"/>
      <c r="B57" s="1276"/>
      <c r="C57" s="1287" t="s">
        <v>3865</v>
      </c>
      <c r="D57" s="1398" t="s">
        <v>3963</v>
      </c>
      <c r="E57" s="4034" t="s">
        <v>3881</v>
      </c>
      <c r="F57" s="4035"/>
      <c r="G57" s="4717" t="s">
        <v>3866</v>
      </c>
      <c r="H57" s="4718"/>
      <c r="I57" s="4034" t="s">
        <v>3880</v>
      </c>
      <c r="J57" s="4035"/>
      <c r="K57" s="4038"/>
    </row>
    <row r="58" spans="1:13" ht="15" customHeight="1">
      <c r="A58" s="1388"/>
      <c r="B58" s="1318"/>
      <c r="C58" s="1296">
        <f>SUMIF(C33:C51, "0", H33:H51)</f>
        <v>0</v>
      </c>
      <c r="D58" s="1399">
        <f t="shared" ref="D58:D63" si="4">ROUNDUP(C58*1.1,0)</f>
        <v>0</v>
      </c>
      <c r="E58" s="4040" t="s">
        <v>3867</v>
      </c>
      <c r="F58" s="4041"/>
      <c r="G58" s="4719" t="e">
        <f>#REF!</f>
        <v>#REF!</v>
      </c>
      <c r="H58" s="4720"/>
      <c r="I58" s="4042" t="e">
        <f t="shared" ref="I58:I63" si="5">D58*G58</f>
        <v>#REF!</v>
      </c>
      <c r="J58" s="4042"/>
      <c r="K58" s="4039"/>
    </row>
    <row r="59" spans="1:13">
      <c r="A59" s="1388"/>
      <c r="B59" s="1318"/>
      <c r="C59" s="1297">
        <f>SUMIF(C33:C51, "1", H33:H51)</f>
        <v>0</v>
      </c>
      <c r="D59" s="1400">
        <f t="shared" si="4"/>
        <v>0</v>
      </c>
      <c r="E59" s="4019" t="s">
        <v>2455</v>
      </c>
      <c r="F59" s="4020"/>
      <c r="G59" s="4715" t="e">
        <f>#REF!</f>
        <v>#REF!</v>
      </c>
      <c r="H59" s="4716"/>
      <c r="I59" s="4023" t="e">
        <f t="shared" si="5"/>
        <v>#REF!</v>
      </c>
      <c r="J59" s="4023"/>
      <c r="K59" s="4039"/>
    </row>
    <row r="60" spans="1:13" ht="15" customHeight="1">
      <c r="A60" s="1388"/>
      <c r="B60" s="1318"/>
      <c r="C60" s="1297">
        <f>SUMIF(C33:C51, "2", H33:H51)</f>
        <v>0</v>
      </c>
      <c r="D60" s="1400">
        <f t="shared" si="4"/>
        <v>0</v>
      </c>
      <c r="E60" s="4019" t="s">
        <v>2456</v>
      </c>
      <c r="F60" s="4020"/>
      <c r="G60" s="4715" t="e">
        <f>#REF!</f>
        <v>#REF!</v>
      </c>
      <c r="H60" s="4716"/>
      <c r="I60" s="4023" t="e">
        <f t="shared" si="5"/>
        <v>#REF!</v>
      </c>
      <c r="J60" s="4023"/>
      <c r="K60" s="4039"/>
    </row>
    <row r="61" spans="1:13">
      <c r="A61" s="1388"/>
      <c r="B61" s="1318"/>
      <c r="C61" s="1297">
        <f>SUMIF(C33:C51, "3", H33:H51)</f>
        <v>0</v>
      </c>
      <c r="D61" s="1400">
        <f t="shared" si="4"/>
        <v>0</v>
      </c>
      <c r="E61" s="4019" t="s">
        <v>2459</v>
      </c>
      <c r="F61" s="4020"/>
      <c r="G61" s="4715" t="e">
        <f>#REF!</f>
        <v>#REF!</v>
      </c>
      <c r="H61" s="4716"/>
      <c r="I61" s="4023" t="e">
        <f t="shared" si="5"/>
        <v>#REF!</v>
      </c>
      <c r="J61" s="4023"/>
      <c r="K61" s="4039"/>
    </row>
    <row r="62" spans="1:13">
      <c r="A62" s="1388"/>
      <c r="B62" s="1318"/>
      <c r="C62" s="1297">
        <f>SUMIF(C33:C51, "4", H33:H51)</f>
        <v>0</v>
      </c>
      <c r="D62" s="1400">
        <f t="shared" si="4"/>
        <v>0</v>
      </c>
      <c r="E62" s="4019" t="s">
        <v>3868</v>
      </c>
      <c r="F62" s="4020"/>
      <c r="G62" s="4715" t="e">
        <f>#REF!</f>
        <v>#REF!</v>
      </c>
      <c r="H62" s="4716"/>
      <c r="I62" s="4023" t="e">
        <f t="shared" si="5"/>
        <v>#REF!</v>
      </c>
      <c r="J62" s="4023"/>
      <c r="K62" s="4039"/>
    </row>
    <row r="63" spans="1:13">
      <c r="A63" s="1397"/>
      <c r="B63" s="1319"/>
      <c r="C63" s="1298">
        <f>SUMIF(C33:C51, "5", H33:H51)</f>
        <v>0</v>
      </c>
      <c r="D63" s="1401">
        <f t="shared" si="4"/>
        <v>0</v>
      </c>
      <c r="E63" s="4024" t="s">
        <v>3869</v>
      </c>
      <c r="F63" s="4025"/>
      <c r="G63" s="4713" t="e">
        <f>#REF!</f>
        <v>#REF!</v>
      </c>
      <c r="H63" s="4714"/>
      <c r="I63" s="4026" t="e">
        <f t="shared" si="5"/>
        <v>#REF!</v>
      </c>
      <c r="J63" s="4026"/>
      <c r="K63" s="1321"/>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27"/>
      <c r="B65" s="4027"/>
      <c r="C65" s="4027"/>
      <c r="D65" s="4027"/>
      <c r="E65" s="4027"/>
      <c r="F65" s="4027"/>
      <c r="G65" s="4027"/>
      <c r="H65" s="4027"/>
      <c r="I65" s="4027"/>
      <c r="J65" s="4027"/>
    </row>
    <row r="66" spans="1:11">
      <c r="A66" s="4028" t="s">
        <v>3872</v>
      </c>
      <c r="B66" s="4029"/>
      <c r="C66" s="4029"/>
      <c r="D66" s="4029"/>
      <c r="E66" s="4029"/>
      <c r="F66" s="4029"/>
      <c r="G66" s="4029"/>
      <c r="H66" s="4029"/>
      <c r="I66" s="4029"/>
      <c r="J66" s="4029"/>
      <c r="K66" s="4030"/>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18" t="s">
        <v>3876</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Wesley Square</v>
      </c>
    </row>
    <row r="2" spans="1:11">
      <c r="A2" s="549" t="s">
        <v>2873</v>
      </c>
      <c r="H2" s="431" t="str">
        <f>'Sensitivity Analysis'!E8</f>
        <v>2024-0</v>
      </c>
    </row>
    <row r="3" spans="1:11" ht="3" customHeight="1"/>
    <row r="4" spans="1:11" ht="51.75" customHeight="1">
      <c r="A4" s="4729" t="s">
        <v>2911</v>
      </c>
      <c r="B4" s="4729"/>
      <c r="C4" s="4729"/>
      <c r="D4" s="4729"/>
      <c r="E4" s="4729"/>
      <c r="F4" s="4729"/>
      <c r="G4" s="4729"/>
      <c r="H4" s="4729"/>
      <c r="J4" s="991">
        <f>SUM('Part VI-Pro Forma'!B15:B17)/12</f>
        <v>72666.554399999994</v>
      </c>
      <c r="K4" s="990" t="s">
        <v>3542</v>
      </c>
    </row>
    <row r="5" spans="1:11" ht="1.5" customHeight="1"/>
    <row r="6" spans="1:11" ht="12.75" customHeight="1">
      <c r="B6" s="623" t="s">
        <v>2234</v>
      </c>
      <c r="C6" s="4729" t="s">
        <v>2874</v>
      </c>
      <c r="D6" s="4729"/>
      <c r="E6" s="4729"/>
      <c r="F6" s="4729"/>
      <c r="G6" s="4729"/>
      <c r="H6" s="4729"/>
    </row>
    <row r="7" spans="1:11" ht="12.75" customHeight="1">
      <c r="B7" s="623" t="s">
        <v>2235</v>
      </c>
      <c r="C7" s="4729" t="s">
        <v>2875</v>
      </c>
      <c r="D7" s="4729"/>
      <c r="E7" s="4729"/>
      <c r="F7" s="4729"/>
      <c r="G7" s="4729"/>
      <c r="H7" s="4729"/>
    </row>
    <row r="8" spans="1:11" ht="3" customHeight="1"/>
    <row r="9" spans="1:11">
      <c r="A9" s="431" t="s">
        <v>2876</v>
      </c>
    </row>
    <row r="10" spans="1:11" ht="1.5" customHeight="1"/>
    <row r="11" spans="1:11" ht="26.25" customHeight="1">
      <c r="A11" s="624" t="s">
        <v>1836</v>
      </c>
      <c r="B11" s="4733" t="s">
        <v>2908</v>
      </c>
      <c r="C11" s="4733"/>
      <c r="D11" s="4733"/>
      <c r="E11" s="4733"/>
      <c r="F11" s="4733"/>
      <c r="G11" s="4734">
        <f ca="1">'Part II-Sources of Funds'!I51+'Part II-Sources of Funds'!I52</f>
        <v>18590000</v>
      </c>
      <c r="H11" s="4734"/>
    </row>
    <row r="12" spans="1:11" ht="1.5" customHeight="1">
      <c r="G12" s="605"/>
      <c r="H12" s="605"/>
    </row>
    <row r="13" spans="1:11" ht="26.25" customHeight="1">
      <c r="A13" s="624" t="s">
        <v>1838</v>
      </c>
      <c r="B13" s="4733" t="s">
        <v>2909</v>
      </c>
      <c r="C13" s="4733"/>
      <c r="D13" s="4733"/>
      <c r="E13" s="4733"/>
      <c r="F13" s="4733"/>
      <c r="G13" s="4735" t="s">
        <v>2804</v>
      </c>
      <c r="H13" s="4735"/>
    </row>
    <row r="14" spans="1:11" ht="12" hidden="1" customHeight="1">
      <c r="A14" s="624"/>
      <c r="B14" s="4690"/>
      <c r="C14" s="4690"/>
      <c r="D14" s="4690"/>
      <c r="E14" s="4690"/>
      <c r="F14" s="4690"/>
      <c r="G14" s="4690"/>
      <c r="H14" s="4690"/>
    </row>
    <row r="15" spans="1:11" ht="1.5" customHeight="1"/>
    <row r="16" spans="1:11" ht="12" customHeight="1">
      <c r="A16" s="624" t="s">
        <v>697</v>
      </c>
      <c r="B16" s="431" t="s">
        <v>2912</v>
      </c>
      <c r="G16" s="4736" t="s">
        <v>2644</v>
      </c>
      <c r="H16" s="4736"/>
    </row>
    <row r="17" spans="1:8" ht="1.5" customHeight="1">
      <c r="G17" s="608"/>
    </row>
    <row r="18" spans="1:8" ht="12" customHeight="1">
      <c r="A18" s="624" t="s">
        <v>1957</v>
      </c>
      <c r="B18" s="605" t="s">
        <v>2910</v>
      </c>
      <c r="C18" s="624"/>
      <c r="D18" s="624"/>
      <c r="E18" s="624"/>
      <c r="G18" s="4690" t="s">
        <v>2507</v>
      </c>
      <c r="H18" s="4690"/>
    </row>
    <row r="19" spans="1:8" ht="12" hidden="1" customHeight="1">
      <c r="B19" s="4690"/>
      <c r="C19" s="4690"/>
      <c r="D19" s="4690"/>
      <c r="E19" s="4690"/>
      <c r="F19" s="4690"/>
      <c r="G19" s="4690"/>
      <c r="H19" s="4690"/>
    </row>
    <row r="20" spans="1:8" ht="13.5" customHeight="1"/>
    <row r="21" spans="1:8" ht="12" customHeight="1">
      <c r="A21" s="549" t="s">
        <v>2877</v>
      </c>
    </row>
    <row r="22" spans="1:8" ht="3" customHeight="1"/>
    <row r="23" spans="1:8" ht="24.75" customHeight="1">
      <c r="A23" s="4737" t="s">
        <v>3948</v>
      </c>
      <c r="B23" s="4737"/>
      <c r="C23" s="4737"/>
      <c r="D23" s="4737"/>
      <c r="E23" s="4737"/>
      <c r="F23" s="4737"/>
      <c r="G23" s="4737"/>
      <c r="H23" s="4737"/>
    </row>
    <row r="24" spans="1:8" ht="9" customHeight="1" thickBot="1">
      <c r="A24" s="600"/>
    </row>
    <row r="25" spans="1:8" ht="16.149999999999999" customHeight="1" thickBot="1">
      <c r="A25" s="4730">
        <v>20</v>
      </c>
      <c r="B25" s="4731"/>
      <c r="C25" s="1387" t="s">
        <v>974</v>
      </c>
    </row>
    <row r="26" spans="1:8" ht="9" customHeight="1">
      <c r="A26" s="600"/>
    </row>
    <row r="27" spans="1:8" ht="28.15" customHeight="1">
      <c r="A27" s="4729" t="s">
        <v>3953</v>
      </c>
      <c r="B27" s="4729"/>
      <c r="C27" s="4729"/>
      <c r="D27" s="4729"/>
      <c r="E27" s="4729"/>
      <c r="F27" s="4729"/>
      <c r="G27" s="4729"/>
      <c r="H27" s="4729"/>
    </row>
    <row r="28" spans="1:8" ht="9" customHeight="1">
      <c r="A28" s="600"/>
    </row>
    <row r="29" spans="1:8">
      <c r="A29" s="608" t="s">
        <v>2913</v>
      </c>
      <c r="B29" s="625" t="str">
        <f>IF('Part V-Revenues &amp; Expenses'!$K$62=0,"",'Part V-Revenues &amp; Expenses'!$K$62)</f>
        <v/>
      </c>
      <c r="C29" s="608" t="s">
        <v>3946</v>
      </c>
      <c r="D29" s="626" t="s">
        <v>3947</v>
      </c>
    </row>
    <row r="30" spans="1:8" ht="1.9" customHeight="1"/>
    <row r="31" spans="1:8" ht="12.75" customHeight="1">
      <c r="C31" s="605" t="s">
        <v>2878</v>
      </c>
      <c r="D31" s="627" t="s">
        <v>1839</v>
      </c>
      <c r="E31" s="628"/>
      <c r="F31" s="4729" t="s">
        <v>2879</v>
      </c>
      <c r="G31" s="4729"/>
      <c r="H31" s="4729"/>
    </row>
    <row r="32" spans="1:8" ht="12.75" customHeight="1">
      <c r="C32" s="629" t="s">
        <v>1273</v>
      </c>
      <c r="D32" s="627" t="s">
        <v>1841</v>
      </c>
      <c r="E32" s="4729" t="s">
        <v>2918</v>
      </c>
      <c r="F32" s="4729"/>
      <c r="G32" s="4729"/>
      <c r="H32" s="4729"/>
    </row>
    <row r="33" spans="1:11" ht="12.75" customHeight="1">
      <c r="C33" s="1385" t="s">
        <v>3951</v>
      </c>
      <c r="E33" s="4729" t="s">
        <v>3036</v>
      </c>
      <c r="F33" s="4729"/>
      <c r="G33" s="4729"/>
      <c r="H33" s="4729"/>
    </row>
    <row r="34" spans="1:11" ht="12.75" customHeight="1">
      <c r="C34" s="1386"/>
      <c r="D34" s="1384" t="s">
        <v>2917</v>
      </c>
      <c r="E34" s="4732" t="s">
        <v>3037</v>
      </c>
      <c r="F34" s="4732"/>
      <c r="G34" s="4732"/>
      <c r="H34" s="4732"/>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9" t="s">
        <v>2918</v>
      </c>
      <c r="F37" s="4729"/>
      <c r="G37" s="4729"/>
      <c r="H37" s="4729"/>
    </row>
    <row r="38" spans="1:11" ht="12.75" customHeight="1">
      <c r="C38" s="1385" t="s">
        <v>3951</v>
      </c>
      <c r="E38" s="4729" t="s">
        <v>3036</v>
      </c>
      <c r="F38" s="4729"/>
      <c r="G38" s="4729"/>
      <c r="H38" s="4729"/>
    </row>
    <row r="39" spans="1:11" ht="12.75" customHeight="1">
      <c r="C39" s="1386"/>
      <c r="D39" s="1384" t="s">
        <v>2917</v>
      </c>
      <c r="E39" s="4732" t="s">
        <v>3037</v>
      </c>
      <c r="F39" s="4732"/>
      <c r="G39" s="4732"/>
      <c r="H39" s="4732"/>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9" t="s">
        <v>2918</v>
      </c>
      <c r="F42" s="4729"/>
      <c r="G42" s="4729"/>
      <c r="H42" s="4729"/>
    </row>
    <row r="43" spans="1:11" ht="12.75" customHeight="1">
      <c r="C43" s="1385" t="s">
        <v>3951</v>
      </c>
      <c r="E43" s="4729" t="s">
        <v>3036</v>
      </c>
      <c r="F43" s="4729"/>
      <c r="G43" s="4729"/>
      <c r="H43" s="4729"/>
    </row>
    <row r="44" spans="1:11" ht="12.75" customHeight="1">
      <c r="C44" s="1386"/>
      <c r="D44" s="1384" t="s">
        <v>2917</v>
      </c>
      <c r="E44" s="4732" t="s">
        <v>3037</v>
      </c>
      <c r="F44" s="4732"/>
      <c r="G44" s="4732"/>
      <c r="H44" s="4732"/>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9" t="s">
        <v>2918</v>
      </c>
      <c r="F49" s="4729"/>
      <c r="G49" s="4729"/>
      <c r="H49" s="4729"/>
      <c r="K49" s="599"/>
    </row>
    <row r="50" spans="1:11" ht="12.75" customHeight="1">
      <c r="C50" s="1385" t="s">
        <v>3951</v>
      </c>
      <c r="E50" s="4729" t="s">
        <v>3036</v>
      </c>
      <c r="F50" s="4729"/>
      <c r="G50" s="4729"/>
      <c r="H50" s="4729"/>
    </row>
    <row r="51" spans="1:11" ht="12.75" customHeight="1">
      <c r="C51" s="1386"/>
      <c r="D51" s="630" t="s">
        <v>2917</v>
      </c>
      <c r="E51" s="4729" t="s">
        <v>3037</v>
      </c>
      <c r="F51" s="4729"/>
      <c r="G51" s="4729"/>
      <c r="H51" s="4729"/>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9" t="s">
        <v>2918</v>
      </c>
      <c r="F54" s="4729"/>
      <c r="G54" s="4729"/>
      <c r="H54" s="4729"/>
    </row>
    <row r="55" spans="1:11" ht="12.75" customHeight="1">
      <c r="C55" s="1385" t="s">
        <v>3951</v>
      </c>
      <c r="E55" s="4729" t="s">
        <v>3036</v>
      </c>
      <c r="F55" s="4729"/>
      <c r="G55" s="4729"/>
      <c r="H55" s="4729"/>
    </row>
    <row r="56" spans="1:11" ht="12.75" customHeight="1">
      <c r="C56" s="1386"/>
      <c r="D56" s="1384" t="s">
        <v>2917</v>
      </c>
      <c r="E56" s="4732" t="s">
        <v>3037</v>
      </c>
      <c r="F56" s="4732"/>
      <c r="G56" s="4732"/>
      <c r="H56" s="4732"/>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9" t="s">
        <v>2918</v>
      </c>
      <c r="F59" s="4729"/>
      <c r="G59" s="4729"/>
      <c r="H59" s="4729"/>
    </row>
    <row r="60" spans="1:11" ht="12.75" customHeight="1">
      <c r="C60" s="1385" t="s">
        <v>3951</v>
      </c>
      <c r="E60" s="4729" t="s">
        <v>3036</v>
      </c>
      <c r="F60" s="4729"/>
      <c r="G60" s="4729"/>
      <c r="H60" s="4729"/>
    </row>
    <row r="61" spans="1:11" ht="12.75" customHeight="1">
      <c r="C61" s="1386"/>
      <c r="D61" s="1384" t="s">
        <v>2917</v>
      </c>
      <c r="E61" s="4732" t="s">
        <v>3037</v>
      </c>
      <c r="F61" s="4732"/>
      <c r="G61" s="4732"/>
      <c r="H61" s="4732"/>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9" t="s">
        <v>2918</v>
      </c>
      <c r="F66" s="4729"/>
      <c r="G66" s="4729"/>
      <c r="H66" s="4729"/>
    </row>
    <row r="67" spans="1:8" ht="12.75" customHeight="1">
      <c r="C67" s="1385" t="s">
        <v>3951</v>
      </c>
      <c r="E67" s="4729" t="s">
        <v>3036</v>
      </c>
      <c r="F67" s="4729"/>
      <c r="G67" s="4729"/>
      <c r="H67" s="4729"/>
    </row>
    <row r="68" spans="1:8" ht="12.75" customHeight="1">
      <c r="C68" s="1386"/>
      <c r="D68" s="630" t="s">
        <v>2917</v>
      </c>
      <c r="E68" s="4729" t="s">
        <v>3037</v>
      </c>
      <c r="F68" s="4729"/>
      <c r="G68" s="4729"/>
      <c r="H68" s="4729"/>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9" t="s">
        <v>2918</v>
      </c>
      <c r="F71" s="4729"/>
      <c r="G71" s="4729"/>
      <c r="H71" s="4729"/>
    </row>
    <row r="72" spans="1:8" ht="12.75" customHeight="1">
      <c r="C72" s="1385" t="s">
        <v>3951</v>
      </c>
      <c r="E72" s="4729" t="s">
        <v>3036</v>
      </c>
      <c r="F72" s="4729"/>
      <c r="G72" s="4729"/>
      <c r="H72" s="4729"/>
    </row>
    <row r="73" spans="1:8" ht="12.75" customHeight="1">
      <c r="C73" s="1386"/>
      <c r="D73" s="1384" t="s">
        <v>2917</v>
      </c>
      <c r="E73" s="4732" t="s">
        <v>3037</v>
      </c>
      <c r="F73" s="4732"/>
      <c r="G73" s="4732"/>
      <c r="H73" s="4732"/>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9" t="s">
        <v>2918</v>
      </c>
      <c r="F76" s="4729"/>
      <c r="G76" s="4729"/>
      <c r="H76" s="4729"/>
    </row>
    <row r="77" spans="1:8" ht="12.75" customHeight="1">
      <c r="C77" s="1385" t="s">
        <v>3951</v>
      </c>
      <c r="E77" s="4729" t="s">
        <v>3036</v>
      </c>
      <c r="F77" s="4729"/>
      <c r="G77" s="4729"/>
      <c r="H77" s="4729"/>
    </row>
    <row r="78" spans="1:8" ht="12.75" customHeight="1">
      <c r="C78" s="1386"/>
      <c r="D78" s="1384" t="s">
        <v>2917</v>
      </c>
      <c r="E78" s="4732" t="s">
        <v>3037</v>
      </c>
      <c r="F78" s="4732"/>
      <c r="G78" s="4732"/>
      <c r="H78" s="4732"/>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9" t="s">
        <v>2918</v>
      </c>
      <c r="F83" s="4729"/>
      <c r="G83" s="4729"/>
      <c r="H83" s="4729"/>
    </row>
    <row r="84" spans="3:8" ht="12.75" customHeight="1">
      <c r="C84" s="1385" t="s">
        <v>3951</v>
      </c>
      <c r="E84" s="4729" t="s">
        <v>3036</v>
      </c>
      <c r="F84" s="4729"/>
      <c r="G84" s="4729"/>
      <c r="H84" s="4729"/>
    </row>
    <row r="85" spans="3:8" ht="12.75" customHeight="1">
      <c r="C85" s="1386"/>
      <c r="D85" s="630" t="s">
        <v>2917</v>
      </c>
      <c r="E85" s="4729" t="s">
        <v>3037</v>
      </c>
      <c r="F85" s="4729"/>
      <c r="G85" s="4729"/>
      <c r="H85" s="4729"/>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9" t="s">
        <v>2918</v>
      </c>
      <c r="F88" s="4729"/>
      <c r="G88" s="4729"/>
      <c r="H88" s="4729"/>
    </row>
    <row r="89" spans="3:8" ht="12.75" customHeight="1">
      <c r="C89" s="1385" t="s">
        <v>3951</v>
      </c>
      <c r="E89" s="4729" t="s">
        <v>3036</v>
      </c>
      <c r="F89" s="4729"/>
      <c r="G89" s="4729"/>
      <c r="H89" s="4729"/>
    </row>
    <row r="90" spans="3:8" ht="12.75" customHeight="1">
      <c r="C90" s="1386"/>
      <c r="D90" s="1384" t="s">
        <v>2917</v>
      </c>
      <c r="E90" s="4732" t="s">
        <v>3037</v>
      </c>
      <c r="F90" s="4732"/>
      <c r="G90" s="4732"/>
      <c r="H90" s="4732"/>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9" t="s">
        <v>2918</v>
      </c>
      <c r="F93" s="4729"/>
      <c r="G93" s="4729"/>
      <c r="H93" s="4729"/>
    </row>
    <row r="94" spans="3:8" ht="12.75" customHeight="1">
      <c r="C94" s="1385" t="s">
        <v>3951</v>
      </c>
      <c r="E94" s="4729" t="s">
        <v>3036</v>
      </c>
      <c r="F94" s="4729"/>
      <c r="G94" s="4729"/>
      <c r="H94" s="4729"/>
    </row>
    <row r="95" spans="3:8" ht="12.75" customHeight="1">
      <c r="C95" s="1386"/>
      <c r="D95" s="1384" t="s">
        <v>2917</v>
      </c>
      <c r="E95" s="4732" t="s">
        <v>3037</v>
      </c>
      <c r="F95" s="4732"/>
      <c r="G95" s="4732"/>
      <c r="H95" s="4732"/>
    </row>
    <row r="96" spans="3:8" ht="6" customHeight="1">
      <c r="D96" s="627"/>
      <c r="E96" s="1004"/>
      <c r="F96" s="1004"/>
      <c r="G96" s="1004"/>
      <c r="H96" s="1004"/>
    </row>
    <row r="97" spans="1:11">
      <c r="A97" s="608" t="s">
        <v>2913</v>
      </c>
      <c r="B97" s="625" t="str">
        <f>IF('Part V-Revenues &amp; Expenses'!$O$62=0,"",'Part V-Revenues &amp; Expenses'!$O$62)</f>
        <v/>
      </c>
      <c r="C97" s="608" t="s">
        <v>3949</v>
      </c>
      <c r="D97" s="626" t="s">
        <v>3950</v>
      </c>
    </row>
    <row r="98" spans="1:11" ht="1.9" customHeight="1"/>
    <row r="99" spans="1:11" ht="12.75" customHeight="1">
      <c r="C99" s="605" t="s">
        <v>2878</v>
      </c>
      <c r="D99" s="627" t="s">
        <v>1839</v>
      </c>
      <c r="E99" s="628"/>
      <c r="F99" s="4729" t="s">
        <v>2879</v>
      </c>
      <c r="G99" s="4729"/>
      <c r="H99" s="4729"/>
      <c r="K99" s="431" t="s">
        <v>233</v>
      </c>
    </row>
    <row r="100" spans="1:11" ht="12.75" customHeight="1">
      <c r="C100" s="629" t="s">
        <v>1273</v>
      </c>
      <c r="D100" s="627" t="s">
        <v>1841</v>
      </c>
      <c r="E100" s="4729" t="s">
        <v>2919</v>
      </c>
      <c r="F100" s="4729"/>
      <c r="G100" s="4729"/>
      <c r="H100" s="4729"/>
    </row>
    <row r="101" spans="1:11" ht="12.75" customHeight="1">
      <c r="E101" s="4729" t="s">
        <v>3036</v>
      </c>
      <c r="F101" s="4729"/>
      <c r="G101" s="4729"/>
      <c r="H101" s="4729"/>
    </row>
    <row r="102" spans="1:11" ht="12.75" customHeight="1">
      <c r="D102" s="630" t="s">
        <v>2917</v>
      </c>
      <c r="E102" s="4729" t="s">
        <v>3037</v>
      </c>
      <c r="F102" s="4729"/>
      <c r="G102" s="4729"/>
      <c r="H102" s="4729"/>
    </row>
    <row r="103" spans="1:11" ht="9" customHeight="1" thickBot="1"/>
    <row r="104" spans="1:11" ht="16.149999999999999" customHeight="1" thickBot="1">
      <c r="A104" s="4730">
        <v>30</v>
      </c>
      <c r="B104" s="4731"/>
      <c r="C104" s="1387" t="s">
        <v>974</v>
      </c>
    </row>
    <row r="105" spans="1:11" ht="9" customHeight="1">
      <c r="A105" s="600"/>
    </row>
    <row r="106" spans="1:11" ht="28.15" customHeight="1">
      <c r="A106" s="4729" t="s">
        <v>3954</v>
      </c>
      <c r="B106" s="4729"/>
      <c r="C106" s="4729"/>
      <c r="D106" s="4729"/>
      <c r="E106" s="4729"/>
      <c r="F106" s="4729"/>
      <c r="G106" s="4729"/>
      <c r="H106" s="4729"/>
    </row>
    <row r="107" spans="1:11" ht="9" customHeight="1">
      <c r="A107" s="600"/>
    </row>
    <row r="108" spans="1:11">
      <c r="A108" s="608" t="s">
        <v>2913</v>
      </c>
      <c r="B108" s="625" t="str">
        <f>IF('Part V-Revenues &amp; Expenses'!$K$61=0,"",'Part V-Revenues &amp; Expenses'!$K$61)</f>
        <v/>
      </c>
      <c r="C108" s="608" t="s">
        <v>3946</v>
      </c>
      <c r="D108" s="626" t="s">
        <v>3947</v>
      </c>
    </row>
    <row r="109" spans="1:11" ht="1.9" customHeight="1"/>
    <row r="110" spans="1:11" ht="12.75" customHeight="1">
      <c r="C110" s="605" t="s">
        <v>2878</v>
      </c>
      <c r="D110" s="627" t="s">
        <v>1839</v>
      </c>
      <c r="E110" s="628"/>
      <c r="F110" s="4729" t="s">
        <v>2879</v>
      </c>
      <c r="G110" s="4729"/>
      <c r="H110" s="4729"/>
    </row>
    <row r="111" spans="1:11" ht="12.75" customHeight="1">
      <c r="C111" s="629" t="s">
        <v>1273</v>
      </c>
      <c r="D111" s="627" t="s">
        <v>1841</v>
      </c>
      <c r="E111" s="4729" t="s">
        <v>2918</v>
      </c>
      <c r="F111" s="4729"/>
      <c r="G111" s="4729"/>
      <c r="H111" s="4729"/>
    </row>
    <row r="112" spans="1:11" ht="12.75" customHeight="1">
      <c r="C112" s="1385" t="s">
        <v>3951</v>
      </c>
      <c r="E112" s="4729" t="s">
        <v>3036</v>
      </c>
      <c r="F112" s="4729"/>
      <c r="G112" s="4729"/>
      <c r="H112" s="4729"/>
    </row>
    <row r="113" spans="1:8" ht="12.75" customHeight="1">
      <c r="C113" s="1386"/>
      <c r="D113" s="1384" t="s">
        <v>2917</v>
      </c>
      <c r="E113" s="4732" t="s">
        <v>3037</v>
      </c>
      <c r="F113" s="4732"/>
      <c r="G113" s="4732"/>
      <c r="H113" s="4732"/>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9" t="s">
        <v>2918</v>
      </c>
      <c r="F116" s="4729"/>
      <c r="G116" s="4729"/>
      <c r="H116" s="4729"/>
    </row>
    <row r="117" spans="1:8" ht="12.75" customHeight="1">
      <c r="C117" s="1385" t="s">
        <v>3951</v>
      </c>
      <c r="E117" s="4729" t="s">
        <v>3036</v>
      </c>
      <c r="F117" s="4729"/>
      <c r="G117" s="4729"/>
      <c r="H117" s="4729"/>
    </row>
    <row r="118" spans="1:8" ht="12.75" customHeight="1">
      <c r="C118" s="1386"/>
      <c r="D118" s="1384" t="s">
        <v>2917</v>
      </c>
      <c r="E118" s="4732" t="s">
        <v>3037</v>
      </c>
      <c r="F118" s="4732"/>
      <c r="G118" s="4732"/>
      <c r="H118" s="4732"/>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9" t="s">
        <v>2918</v>
      </c>
      <c r="F121" s="4729"/>
      <c r="G121" s="4729"/>
      <c r="H121" s="4729"/>
    </row>
    <row r="122" spans="1:8" ht="12.75" customHeight="1">
      <c r="C122" s="1385" t="s">
        <v>3951</v>
      </c>
      <c r="E122" s="4729" t="s">
        <v>3036</v>
      </c>
      <c r="F122" s="4729"/>
      <c r="G122" s="4729"/>
      <c r="H122" s="4729"/>
    </row>
    <row r="123" spans="1:8" ht="12.75" customHeight="1">
      <c r="C123" s="1386"/>
      <c r="D123" s="1384" t="s">
        <v>2917</v>
      </c>
      <c r="E123" s="4732" t="s">
        <v>3037</v>
      </c>
      <c r="F123" s="4732"/>
      <c r="G123" s="4732"/>
      <c r="H123" s="4732"/>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9" t="s">
        <v>2918</v>
      </c>
      <c r="F128" s="4729"/>
      <c r="G128" s="4729"/>
      <c r="H128" s="4729"/>
    </row>
    <row r="129" spans="1:8" ht="12.75" customHeight="1">
      <c r="C129" s="1385" t="s">
        <v>3951</v>
      </c>
      <c r="E129" s="4729" t="s">
        <v>3036</v>
      </c>
      <c r="F129" s="4729"/>
      <c r="G129" s="4729"/>
      <c r="H129" s="4729"/>
    </row>
    <row r="130" spans="1:8" ht="12.75" customHeight="1">
      <c r="C130" s="1386"/>
      <c r="D130" s="630" t="s">
        <v>2917</v>
      </c>
      <c r="E130" s="4729" t="s">
        <v>3037</v>
      </c>
      <c r="F130" s="4729"/>
      <c r="G130" s="4729"/>
      <c r="H130" s="4729"/>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9" t="s">
        <v>2918</v>
      </c>
      <c r="F133" s="4729"/>
      <c r="G133" s="4729"/>
      <c r="H133" s="4729"/>
    </row>
    <row r="134" spans="1:8" ht="12.75" customHeight="1">
      <c r="C134" s="1385" t="s">
        <v>3951</v>
      </c>
      <c r="E134" s="4729" t="s">
        <v>3036</v>
      </c>
      <c r="F134" s="4729"/>
      <c r="G134" s="4729"/>
      <c r="H134" s="4729"/>
    </row>
    <row r="135" spans="1:8" ht="12.75" customHeight="1">
      <c r="C135" s="1386"/>
      <c r="D135" s="1384" t="s">
        <v>2917</v>
      </c>
      <c r="E135" s="4732" t="s">
        <v>3037</v>
      </c>
      <c r="F135" s="4732"/>
      <c r="G135" s="4732"/>
      <c r="H135" s="4732"/>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9" t="s">
        <v>2918</v>
      </c>
      <c r="F138" s="4729"/>
      <c r="G138" s="4729"/>
      <c r="H138" s="4729"/>
    </row>
    <row r="139" spans="1:8" ht="12.75" customHeight="1">
      <c r="C139" s="1385" t="s">
        <v>3951</v>
      </c>
      <c r="E139" s="4729" t="s">
        <v>3036</v>
      </c>
      <c r="F139" s="4729"/>
      <c r="G139" s="4729"/>
      <c r="H139" s="4729"/>
    </row>
    <row r="140" spans="1:8" ht="12.75" customHeight="1">
      <c r="C140" s="1386"/>
      <c r="D140" s="1384" t="s">
        <v>2917</v>
      </c>
      <c r="E140" s="4732" t="s">
        <v>3037</v>
      </c>
      <c r="F140" s="4732"/>
      <c r="G140" s="4732"/>
      <c r="H140" s="4732"/>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9" t="s">
        <v>2918</v>
      </c>
      <c r="F145" s="4729"/>
      <c r="G145" s="4729"/>
      <c r="H145" s="4729"/>
    </row>
    <row r="146" spans="1:8" ht="12.75" customHeight="1">
      <c r="C146" s="1385" t="s">
        <v>3951</v>
      </c>
      <c r="E146" s="4729" t="s">
        <v>3036</v>
      </c>
      <c r="F146" s="4729"/>
      <c r="G146" s="4729"/>
      <c r="H146" s="4729"/>
    </row>
    <row r="147" spans="1:8" ht="12.75" customHeight="1">
      <c r="C147" s="1386"/>
      <c r="D147" s="630" t="s">
        <v>2917</v>
      </c>
      <c r="E147" s="4729" t="s">
        <v>3037</v>
      </c>
      <c r="F147" s="4729"/>
      <c r="G147" s="4729"/>
      <c r="H147" s="4729"/>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9" t="s">
        <v>2918</v>
      </c>
      <c r="F150" s="4729"/>
      <c r="G150" s="4729"/>
      <c r="H150" s="4729"/>
    </row>
    <row r="151" spans="1:8" ht="12.75" customHeight="1">
      <c r="C151" s="1385" t="s">
        <v>3951</v>
      </c>
      <c r="E151" s="4729" t="s">
        <v>3036</v>
      </c>
      <c r="F151" s="4729"/>
      <c r="G151" s="4729"/>
      <c r="H151" s="4729"/>
    </row>
    <row r="152" spans="1:8" ht="12.75" customHeight="1">
      <c r="C152" s="1386"/>
      <c r="D152" s="1384" t="s">
        <v>2917</v>
      </c>
      <c r="E152" s="4732" t="s">
        <v>3037</v>
      </c>
      <c r="F152" s="4732"/>
      <c r="G152" s="4732"/>
      <c r="H152" s="4732"/>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9" t="s">
        <v>2918</v>
      </c>
      <c r="F155" s="4729"/>
      <c r="G155" s="4729"/>
      <c r="H155" s="4729"/>
    </row>
    <row r="156" spans="1:8" ht="12.75" customHeight="1">
      <c r="C156" s="1385" t="s">
        <v>3951</v>
      </c>
      <c r="E156" s="4729" t="s">
        <v>3036</v>
      </c>
      <c r="F156" s="4729"/>
      <c r="G156" s="4729"/>
      <c r="H156" s="4729"/>
    </row>
    <row r="157" spans="1:8" ht="12.75" customHeight="1">
      <c r="C157" s="1386"/>
      <c r="D157" s="1384" t="s">
        <v>2917</v>
      </c>
      <c r="E157" s="4732" t="s">
        <v>3037</v>
      </c>
      <c r="F157" s="4732"/>
      <c r="G157" s="4732"/>
      <c r="H157" s="4732"/>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9" t="s">
        <v>2918</v>
      </c>
      <c r="F162" s="4729"/>
      <c r="G162" s="4729"/>
      <c r="H162" s="4729"/>
    </row>
    <row r="163" spans="1:8" ht="12.75" customHeight="1">
      <c r="C163" s="1385" t="s">
        <v>3951</v>
      </c>
      <c r="E163" s="4729" t="s">
        <v>3036</v>
      </c>
      <c r="F163" s="4729"/>
      <c r="G163" s="4729"/>
      <c r="H163" s="4729"/>
    </row>
    <row r="164" spans="1:8" ht="12.75" customHeight="1">
      <c r="C164" s="1386"/>
      <c r="D164" s="630" t="s">
        <v>2917</v>
      </c>
      <c r="E164" s="4729" t="s">
        <v>3037</v>
      </c>
      <c r="F164" s="4729"/>
      <c r="G164" s="4729"/>
      <c r="H164" s="4729"/>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9" t="s">
        <v>2918</v>
      </c>
      <c r="F167" s="4729"/>
      <c r="G167" s="4729"/>
      <c r="H167" s="4729"/>
    </row>
    <row r="168" spans="1:8" ht="12.75" customHeight="1">
      <c r="C168" s="1385" t="s">
        <v>3951</v>
      </c>
      <c r="E168" s="4729" t="s">
        <v>3036</v>
      </c>
      <c r="F168" s="4729"/>
      <c r="G168" s="4729"/>
      <c r="H168" s="4729"/>
    </row>
    <row r="169" spans="1:8" ht="12.75" customHeight="1">
      <c r="C169" s="1386"/>
      <c r="D169" s="1384" t="s">
        <v>2917</v>
      </c>
      <c r="E169" s="4732" t="s">
        <v>3037</v>
      </c>
      <c r="F169" s="4732"/>
      <c r="G169" s="4732"/>
      <c r="H169" s="4732"/>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9" t="s">
        <v>2918</v>
      </c>
      <c r="F172" s="4729"/>
      <c r="G172" s="4729"/>
      <c r="H172" s="4729"/>
    </row>
    <row r="173" spans="1:8" ht="12.75" customHeight="1">
      <c r="C173" s="1385" t="s">
        <v>3951</v>
      </c>
      <c r="E173" s="4729" t="s">
        <v>3036</v>
      </c>
      <c r="F173" s="4729"/>
      <c r="G173" s="4729"/>
      <c r="H173" s="4729"/>
    </row>
    <row r="174" spans="1:8" ht="12.75" customHeight="1">
      <c r="C174" s="1386"/>
      <c r="D174" s="1384" t="s">
        <v>2917</v>
      </c>
      <c r="E174" s="4732" t="s">
        <v>3037</v>
      </c>
      <c r="F174" s="4732"/>
      <c r="G174" s="4732"/>
      <c r="H174" s="4732"/>
    </row>
    <row r="175" spans="1:8" ht="6" customHeight="1">
      <c r="D175" s="627"/>
      <c r="E175" s="1004"/>
      <c r="F175" s="1004"/>
      <c r="G175" s="1004"/>
      <c r="H175" s="1004"/>
    </row>
    <row r="176" spans="1:8">
      <c r="A176" s="608" t="s">
        <v>2913</v>
      </c>
      <c r="B176" s="625" t="str">
        <f>IF('Part V-Revenues &amp; Expenses'!$O61=0,"",'Part V-Revenues &amp; Expenses'!$O$61)</f>
        <v/>
      </c>
      <c r="C176" s="608" t="s">
        <v>3949</v>
      </c>
      <c r="D176" s="626" t="s">
        <v>3950</v>
      </c>
    </row>
    <row r="177" spans="1:11" ht="1.9" customHeight="1"/>
    <row r="178" spans="1:11" ht="12.75" customHeight="1">
      <c r="C178" s="605" t="s">
        <v>2878</v>
      </c>
      <c r="D178" s="627" t="s">
        <v>1839</v>
      </c>
      <c r="E178" s="628"/>
      <c r="F178" s="4729" t="s">
        <v>2879</v>
      </c>
      <c r="G178" s="4729"/>
      <c r="H178" s="4729"/>
      <c r="K178" s="431" t="s">
        <v>233</v>
      </c>
    </row>
    <row r="179" spans="1:11" ht="12.75" customHeight="1">
      <c r="C179" s="629" t="s">
        <v>1273</v>
      </c>
      <c r="D179" s="627" t="s">
        <v>1841</v>
      </c>
      <c r="E179" s="4729" t="s">
        <v>2919</v>
      </c>
      <c r="F179" s="4729"/>
      <c r="G179" s="4729"/>
      <c r="H179" s="4729"/>
    </row>
    <row r="180" spans="1:11" ht="12.75" customHeight="1">
      <c r="E180" s="4729" t="s">
        <v>3036</v>
      </c>
      <c r="F180" s="4729"/>
      <c r="G180" s="4729"/>
      <c r="H180" s="4729"/>
    </row>
    <row r="181" spans="1:11" ht="12.75" customHeight="1">
      <c r="D181" s="630" t="s">
        <v>2917</v>
      </c>
      <c r="E181" s="4729" t="s">
        <v>3037</v>
      </c>
      <c r="F181" s="4729"/>
      <c r="G181" s="4729"/>
      <c r="H181" s="4729"/>
    </row>
    <row r="182" spans="1:11" ht="9" customHeight="1" thickBot="1"/>
    <row r="183" spans="1:11" ht="16.149999999999999" customHeight="1" thickBot="1">
      <c r="A183" s="4730">
        <v>40</v>
      </c>
      <c r="B183" s="4731"/>
      <c r="C183" s="1387" t="s">
        <v>974</v>
      </c>
    </row>
    <row r="184" spans="1:11" ht="9" customHeight="1">
      <c r="A184" s="600"/>
    </row>
    <row r="185" spans="1:11" ht="28.15" customHeight="1">
      <c r="A185" s="4729" t="s">
        <v>3955</v>
      </c>
      <c r="B185" s="4729"/>
      <c r="C185" s="4729"/>
      <c r="D185" s="4729"/>
      <c r="E185" s="4729"/>
      <c r="F185" s="4729"/>
      <c r="G185" s="4729"/>
      <c r="H185" s="4729"/>
    </row>
    <row r="186" spans="1:11" ht="9" customHeight="1">
      <c r="A186" s="600"/>
    </row>
    <row r="187" spans="1:11">
      <c r="A187" s="608" t="s">
        <v>2913</v>
      </c>
      <c r="B187" s="625" t="str">
        <f>IF('Part V-Revenues &amp; Expenses'!$K$60=0,"",'Part V-Revenues &amp; Expenses'!$K$60)</f>
        <v/>
      </c>
      <c r="C187" s="608" t="s">
        <v>3946</v>
      </c>
      <c r="D187" s="626" t="s">
        <v>3947</v>
      </c>
    </row>
    <row r="188" spans="1:11" ht="1.9" customHeight="1"/>
    <row r="189" spans="1:11" ht="12.75" customHeight="1">
      <c r="C189" s="605" t="s">
        <v>2878</v>
      </c>
      <c r="D189" s="627" t="s">
        <v>1839</v>
      </c>
      <c r="E189" s="628"/>
      <c r="F189" s="4729" t="s">
        <v>2879</v>
      </c>
      <c r="G189" s="4729"/>
      <c r="H189" s="4729"/>
    </row>
    <row r="190" spans="1:11" ht="12.75" customHeight="1">
      <c r="C190" s="629" t="s">
        <v>1273</v>
      </c>
      <c r="D190" s="627" t="s">
        <v>1841</v>
      </c>
      <c r="E190" s="4729" t="s">
        <v>2918</v>
      </c>
      <c r="F190" s="4729"/>
      <c r="G190" s="4729"/>
      <c r="H190" s="4729"/>
    </row>
    <row r="191" spans="1:11" ht="12.75" customHeight="1">
      <c r="C191" s="1385" t="s">
        <v>3951</v>
      </c>
      <c r="E191" s="4729" t="s">
        <v>3036</v>
      </c>
      <c r="F191" s="4729"/>
      <c r="G191" s="4729"/>
      <c r="H191" s="4729"/>
    </row>
    <row r="192" spans="1:11" ht="12.75" customHeight="1">
      <c r="C192" s="1386"/>
      <c r="D192" s="1384" t="s">
        <v>2917</v>
      </c>
      <c r="E192" s="4732" t="s">
        <v>3037</v>
      </c>
      <c r="F192" s="4732"/>
      <c r="G192" s="4732"/>
      <c r="H192" s="4732"/>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9" t="s">
        <v>2918</v>
      </c>
      <c r="F195" s="4729"/>
      <c r="G195" s="4729"/>
      <c r="H195" s="4729"/>
    </row>
    <row r="196" spans="1:8" ht="12.75" customHeight="1">
      <c r="C196" s="1385" t="s">
        <v>3951</v>
      </c>
      <c r="E196" s="4729" t="s">
        <v>3036</v>
      </c>
      <c r="F196" s="4729"/>
      <c r="G196" s="4729"/>
      <c r="H196" s="4729"/>
    </row>
    <row r="197" spans="1:8" ht="12.75" customHeight="1">
      <c r="C197" s="1386"/>
      <c r="D197" s="1384" t="s">
        <v>2917</v>
      </c>
      <c r="E197" s="4732" t="s">
        <v>3037</v>
      </c>
      <c r="F197" s="4732"/>
      <c r="G197" s="4732"/>
      <c r="H197" s="4732"/>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9" t="s">
        <v>2918</v>
      </c>
      <c r="F200" s="4729"/>
      <c r="G200" s="4729"/>
      <c r="H200" s="4729"/>
    </row>
    <row r="201" spans="1:8" ht="12.75" customHeight="1">
      <c r="C201" s="1385" t="s">
        <v>3951</v>
      </c>
      <c r="E201" s="4729" t="s">
        <v>3036</v>
      </c>
      <c r="F201" s="4729"/>
      <c r="G201" s="4729"/>
      <c r="H201" s="4729"/>
    </row>
    <row r="202" spans="1:8" ht="12.75" customHeight="1">
      <c r="C202" s="1386"/>
      <c r="D202" s="1384" t="s">
        <v>2917</v>
      </c>
      <c r="E202" s="4732" t="s">
        <v>3037</v>
      </c>
      <c r="F202" s="4732"/>
      <c r="G202" s="4732"/>
      <c r="H202" s="4732"/>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9" t="s">
        <v>2918</v>
      </c>
      <c r="F207" s="4729"/>
      <c r="G207" s="4729"/>
      <c r="H207" s="4729"/>
    </row>
    <row r="208" spans="1:8" ht="12.75" customHeight="1">
      <c r="C208" s="1385" t="s">
        <v>3951</v>
      </c>
      <c r="E208" s="4729" t="s">
        <v>3036</v>
      </c>
      <c r="F208" s="4729"/>
      <c r="G208" s="4729"/>
      <c r="H208" s="4729"/>
    </row>
    <row r="209" spans="1:8" ht="12.75" customHeight="1">
      <c r="C209" s="1386"/>
      <c r="D209" s="630" t="s">
        <v>2917</v>
      </c>
      <c r="E209" s="4729" t="s">
        <v>3037</v>
      </c>
      <c r="F209" s="4729"/>
      <c r="G209" s="4729"/>
      <c r="H209" s="4729"/>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9" t="s">
        <v>2918</v>
      </c>
      <c r="F212" s="4729"/>
      <c r="G212" s="4729"/>
      <c r="H212" s="4729"/>
    </row>
    <row r="213" spans="1:8" ht="12.75" customHeight="1">
      <c r="C213" s="1385" t="s">
        <v>3951</v>
      </c>
      <c r="E213" s="4729" t="s">
        <v>3036</v>
      </c>
      <c r="F213" s="4729"/>
      <c r="G213" s="4729"/>
      <c r="H213" s="4729"/>
    </row>
    <row r="214" spans="1:8" ht="12.75" customHeight="1">
      <c r="C214" s="1386"/>
      <c r="D214" s="1384" t="s">
        <v>2917</v>
      </c>
      <c r="E214" s="4732" t="s">
        <v>3037</v>
      </c>
      <c r="F214" s="4732"/>
      <c r="G214" s="4732"/>
      <c r="H214" s="4732"/>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9" t="s">
        <v>2918</v>
      </c>
      <c r="F217" s="4729"/>
      <c r="G217" s="4729"/>
      <c r="H217" s="4729"/>
    </row>
    <row r="218" spans="1:8" ht="12.75" customHeight="1">
      <c r="C218" s="1385" t="s">
        <v>3951</v>
      </c>
      <c r="E218" s="4729" t="s">
        <v>3036</v>
      </c>
      <c r="F218" s="4729"/>
      <c r="G218" s="4729"/>
      <c r="H218" s="4729"/>
    </row>
    <row r="219" spans="1:8" ht="12.75" customHeight="1">
      <c r="C219" s="1386"/>
      <c r="D219" s="1384" t="s">
        <v>2917</v>
      </c>
      <c r="E219" s="4732" t="s">
        <v>3037</v>
      </c>
      <c r="F219" s="4732"/>
      <c r="G219" s="4732"/>
      <c r="H219" s="4732"/>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9" t="s">
        <v>2918</v>
      </c>
      <c r="F224" s="4729"/>
      <c r="G224" s="4729"/>
      <c r="H224" s="4729"/>
    </row>
    <row r="225" spans="1:8" ht="12.75" customHeight="1">
      <c r="C225" s="1385" t="s">
        <v>3951</v>
      </c>
      <c r="E225" s="4729" t="s">
        <v>3036</v>
      </c>
      <c r="F225" s="4729"/>
      <c r="G225" s="4729"/>
      <c r="H225" s="4729"/>
    </row>
    <row r="226" spans="1:8" ht="12.75" customHeight="1">
      <c r="C226" s="1386"/>
      <c r="D226" s="630" t="s">
        <v>2917</v>
      </c>
      <c r="E226" s="4729" t="s">
        <v>3037</v>
      </c>
      <c r="F226" s="4729"/>
      <c r="G226" s="4729"/>
      <c r="H226" s="4729"/>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9" t="s">
        <v>2918</v>
      </c>
      <c r="F229" s="4729"/>
      <c r="G229" s="4729"/>
      <c r="H229" s="4729"/>
    </row>
    <row r="230" spans="1:8" ht="12.75" customHeight="1">
      <c r="C230" s="1385" t="s">
        <v>3951</v>
      </c>
      <c r="E230" s="4729" t="s">
        <v>3036</v>
      </c>
      <c r="F230" s="4729"/>
      <c r="G230" s="4729"/>
      <c r="H230" s="4729"/>
    </row>
    <row r="231" spans="1:8" ht="12.75" customHeight="1">
      <c r="C231" s="1386"/>
      <c r="D231" s="1384" t="s">
        <v>2917</v>
      </c>
      <c r="E231" s="4732" t="s">
        <v>3037</v>
      </c>
      <c r="F231" s="4732"/>
      <c r="G231" s="4732"/>
      <c r="H231" s="4732"/>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9" t="s">
        <v>2918</v>
      </c>
      <c r="F234" s="4729"/>
      <c r="G234" s="4729"/>
      <c r="H234" s="4729"/>
    </row>
    <row r="235" spans="1:8" ht="12.75" customHeight="1">
      <c r="C235" s="1385" t="s">
        <v>3951</v>
      </c>
      <c r="E235" s="4729" t="s">
        <v>3036</v>
      </c>
      <c r="F235" s="4729"/>
      <c r="G235" s="4729"/>
      <c r="H235" s="4729"/>
    </row>
    <row r="236" spans="1:8" ht="12.75" customHeight="1">
      <c r="C236" s="1386"/>
      <c r="D236" s="1384" t="s">
        <v>2917</v>
      </c>
      <c r="E236" s="4732" t="s">
        <v>3037</v>
      </c>
      <c r="F236" s="4732"/>
      <c r="G236" s="4732"/>
      <c r="H236" s="4732"/>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9" t="s">
        <v>2918</v>
      </c>
      <c r="F241" s="4729"/>
      <c r="G241" s="4729"/>
      <c r="H241" s="4729"/>
    </row>
    <row r="242" spans="1:8" ht="12.75" customHeight="1">
      <c r="C242" s="1385" t="s">
        <v>3951</v>
      </c>
      <c r="E242" s="4729" t="s">
        <v>3036</v>
      </c>
      <c r="F242" s="4729"/>
      <c r="G242" s="4729"/>
      <c r="H242" s="4729"/>
    </row>
    <row r="243" spans="1:8" ht="12.75" customHeight="1">
      <c r="C243" s="1386"/>
      <c r="D243" s="630" t="s">
        <v>2917</v>
      </c>
      <c r="E243" s="4729" t="s">
        <v>3037</v>
      </c>
      <c r="F243" s="4729"/>
      <c r="G243" s="4729"/>
      <c r="H243" s="4729"/>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9" t="s">
        <v>2918</v>
      </c>
      <c r="F246" s="4729"/>
      <c r="G246" s="4729"/>
      <c r="H246" s="4729"/>
    </row>
    <row r="247" spans="1:8" ht="12.75" customHeight="1">
      <c r="C247" s="1385" t="s">
        <v>3951</v>
      </c>
      <c r="E247" s="4729" t="s">
        <v>3036</v>
      </c>
      <c r="F247" s="4729"/>
      <c r="G247" s="4729"/>
      <c r="H247" s="4729"/>
    </row>
    <row r="248" spans="1:8" ht="12.75" customHeight="1">
      <c r="C248" s="1386"/>
      <c r="D248" s="1384" t="s">
        <v>2917</v>
      </c>
      <c r="E248" s="4732" t="s">
        <v>3037</v>
      </c>
      <c r="F248" s="4732"/>
      <c r="G248" s="4732"/>
      <c r="H248" s="4732"/>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9" t="s">
        <v>2918</v>
      </c>
      <c r="F251" s="4729"/>
      <c r="G251" s="4729"/>
      <c r="H251" s="4729"/>
    </row>
    <row r="252" spans="1:8" ht="12.75" customHeight="1">
      <c r="C252" s="1385" t="s">
        <v>3951</v>
      </c>
      <c r="E252" s="4729" t="s">
        <v>3036</v>
      </c>
      <c r="F252" s="4729"/>
      <c r="G252" s="4729"/>
      <c r="H252" s="4729"/>
    </row>
    <row r="253" spans="1:8" ht="12.75" customHeight="1">
      <c r="C253" s="1386"/>
      <c r="D253" s="1384" t="s">
        <v>2917</v>
      </c>
      <c r="E253" s="4732" t="s">
        <v>3037</v>
      </c>
      <c r="F253" s="4732"/>
      <c r="G253" s="4732"/>
      <c r="H253" s="4732"/>
    </row>
    <row r="254" spans="1:8" ht="6" customHeight="1">
      <c r="D254" s="627"/>
      <c r="E254" s="1004"/>
      <c r="F254" s="1004"/>
      <c r="G254" s="1004"/>
      <c r="H254" s="1004"/>
    </row>
    <row r="255" spans="1:8">
      <c r="A255" s="608" t="s">
        <v>2913</v>
      </c>
      <c r="B255" s="625" t="str">
        <f>IF('Part V-Revenues &amp; Expenses'!$O$60=0,"",'Part V-Revenues &amp; Expenses'!$O$60)</f>
        <v/>
      </c>
      <c r="C255" s="608" t="s">
        <v>3949</v>
      </c>
      <c r="D255" s="626" t="s">
        <v>3950</v>
      </c>
    </row>
    <row r="256" spans="1:8" ht="1.9" customHeight="1"/>
    <row r="257" spans="1:11" ht="12.75" customHeight="1">
      <c r="C257" s="605" t="s">
        <v>2878</v>
      </c>
      <c r="D257" s="627" t="s">
        <v>1839</v>
      </c>
      <c r="E257" s="628"/>
      <c r="F257" s="4729" t="s">
        <v>2879</v>
      </c>
      <c r="G257" s="4729"/>
      <c r="H257" s="4729"/>
      <c r="K257" s="431" t="s">
        <v>233</v>
      </c>
    </row>
    <row r="258" spans="1:11" ht="12.75" customHeight="1">
      <c r="C258" s="629" t="s">
        <v>1273</v>
      </c>
      <c r="D258" s="627" t="s">
        <v>1841</v>
      </c>
      <c r="E258" s="4729" t="s">
        <v>2919</v>
      </c>
      <c r="F258" s="4729"/>
      <c r="G258" s="4729"/>
      <c r="H258" s="4729"/>
    </row>
    <row r="259" spans="1:11" ht="12.75" customHeight="1">
      <c r="E259" s="4729" t="s">
        <v>3036</v>
      </c>
      <c r="F259" s="4729"/>
      <c r="G259" s="4729"/>
      <c r="H259" s="4729"/>
    </row>
    <row r="260" spans="1:11" ht="12.75" customHeight="1">
      <c r="D260" s="630" t="s">
        <v>2917</v>
      </c>
      <c r="E260" s="4729" t="s">
        <v>3037</v>
      </c>
      <c r="F260" s="4729"/>
      <c r="G260" s="4729"/>
      <c r="H260" s="4729"/>
    </row>
    <row r="261" spans="1:11" ht="9" customHeight="1" thickBot="1"/>
    <row r="262" spans="1:11" ht="16.149999999999999" customHeight="1" thickBot="1">
      <c r="A262" s="4730">
        <v>50</v>
      </c>
      <c r="B262" s="4731"/>
      <c r="C262" s="1387" t="s">
        <v>974</v>
      </c>
    </row>
    <row r="263" spans="1:11" ht="9" customHeight="1">
      <c r="A263" s="600"/>
    </row>
    <row r="264" spans="1:11" ht="28.15" customHeight="1">
      <c r="A264" s="4729" t="s">
        <v>3952</v>
      </c>
      <c r="B264" s="4729"/>
      <c r="C264" s="4729"/>
      <c r="D264" s="4729"/>
      <c r="E264" s="4729"/>
      <c r="F264" s="4729"/>
      <c r="G264" s="4729"/>
      <c r="H264" s="4729"/>
    </row>
    <row r="265" spans="1:11" ht="9" customHeight="1">
      <c r="A265" s="600"/>
    </row>
    <row r="266" spans="1:11">
      <c r="A266" s="608" t="s">
        <v>2913</v>
      </c>
      <c r="B266" s="625" t="str">
        <f>IF('Part V-Revenues &amp; Expenses'!$K$59=0,"",'Part V-Revenues &amp; Expenses'!$K$59)</f>
        <v/>
      </c>
      <c r="C266" s="608" t="s">
        <v>3946</v>
      </c>
      <c r="D266" s="626" t="s">
        <v>3947</v>
      </c>
    </row>
    <row r="267" spans="1:11" ht="1.9" customHeight="1"/>
    <row r="268" spans="1:11" ht="12.75" customHeight="1">
      <c r="C268" s="605" t="s">
        <v>2878</v>
      </c>
      <c r="D268" s="627" t="s">
        <v>1839</v>
      </c>
      <c r="E268" s="628"/>
      <c r="F268" s="4729" t="s">
        <v>2879</v>
      </c>
      <c r="G268" s="4729"/>
      <c r="H268" s="4729"/>
    </row>
    <row r="269" spans="1:11" ht="12.75" customHeight="1">
      <c r="C269" s="629" t="s">
        <v>1273</v>
      </c>
      <c r="D269" s="627" t="s">
        <v>1841</v>
      </c>
      <c r="E269" s="4729" t="s">
        <v>2918</v>
      </c>
      <c r="F269" s="4729"/>
      <c r="G269" s="4729"/>
      <c r="H269" s="4729"/>
    </row>
    <row r="270" spans="1:11" ht="12.75" customHeight="1">
      <c r="C270" s="1385" t="s">
        <v>3951</v>
      </c>
      <c r="E270" s="4729" t="s">
        <v>3036</v>
      </c>
      <c r="F270" s="4729"/>
      <c r="G270" s="4729"/>
      <c r="H270" s="4729"/>
    </row>
    <row r="271" spans="1:11" ht="12.75" customHeight="1">
      <c r="C271" s="1386"/>
      <c r="D271" s="1384" t="s">
        <v>2917</v>
      </c>
      <c r="E271" s="4732" t="s">
        <v>3037</v>
      </c>
      <c r="F271" s="4732"/>
      <c r="G271" s="4732"/>
      <c r="H271" s="4732"/>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9" t="s">
        <v>2918</v>
      </c>
      <c r="F274" s="4729"/>
      <c r="G274" s="4729"/>
      <c r="H274" s="4729"/>
    </row>
    <row r="275" spans="1:8" ht="12.75" customHeight="1">
      <c r="C275" s="1385" t="s">
        <v>3951</v>
      </c>
      <c r="E275" s="4729" t="s">
        <v>3036</v>
      </c>
      <c r="F275" s="4729"/>
      <c r="G275" s="4729"/>
      <c r="H275" s="4729"/>
    </row>
    <row r="276" spans="1:8" ht="12.75" customHeight="1">
      <c r="C276" s="1386"/>
      <c r="D276" s="1384" t="s">
        <v>2917</v>
      </c>
      <c r="E276" s="4732" t="s">
        <v>3037</v>
      </c>
      <c r="F276" s="4732"/>
      <c r="G276" s="4732"/>
      <c r="H276" s="4732"/>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9" t="s">
        <v>2918</v>
      </c>
      <c r="F279" s="4729"/>
      <c r="G279" s="4729"/>
      <c r="H279" s="4729"/>
    </row>
    <row r="280" spans="1:8" ht="12.75" customHeight="1">
      <c r="C280" s="1385" t="s">
        <v>3951</v>
      </c>
      <c r="E280" s="4729" t="s">
        <v>3036</v>
      </c>
      <c r="F280" s="4729"/>
      <c r="G280" s="4729"/>
      <c r="H280" s="4729"/>
    </row>
    <row r="281" spans="1:8" ht="12.75" customHeight="1">
      <c r="C281" s="1386"/>
      <c r="D281" s="1384" t="s">
        <v>2917</v>
      </c>
      <c r="E281" s="4732" t="s">
        <v>3037</v>
      </c>
      <c r="F281" s="4732"/>
      <c r="G281" s="4732"/>
      <c r="H281" s="4732"/>
    </row>
    <row r="282" spans="1:8" ht="6" customHeight="1">
      <c r="D282" s="627"/>
      <c r="E282" s="1004"/>
      <c r="F282" s="1004"/>
      <c r="G282" s="1004"/>
      <c r="H282" s="1004"/>
    </row>
    <row r="283" spans="1:8">
      <c r="A283" s="608" t="s">
        <v>2913</v>
      </c>
      <c r="B283" s="625">
        <f>IF('Part V-Revenues &amp; Expenses'!$L$59=0,"",'Part V-Revenues &amp; Expenses'!$L$59)</f>
        <v>26</v>
      </c>
      <c r="C283" s="608" t="s">
        <v>2914</v>
      </c>
      <c r="D283" s="626" t="s">
        <v>3038</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9" t="s">
        <v>2918</v>
      </c>
      <c r="F286" s="4729"/>
      <c r="G286" s="4729"/>
      <c r="H286" s="4729"/>
    </row>
    <row r="287" spans="1:8" ht="12.75" customHeight="1">
      <c r="C287" s="1385" t="s">
        <v>3951</v>
      </c>
      <c r="E287" s="4729" t="s">
        <v>3036</v>
      </c>
      <c r="F287" s="4729"/>
      <c r="G287" s="4729"/>
      <c r="H287" s="4729"/>
    </row>
    <row r="288" spans="1:8" ht="12.75" customHeight="1">
      <c r="C288" s="1386"/>
      <c r="D288" s="630" t="s">
        <v>2917</v>
      </c>
      <c r="E288" s="4729" t="s">
        <v>3037</v>
      </c>
      <c r="F288" s="4729"/>
      <c r="G288" s="4729"/>
      <c r="H288" s="4729"/>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9" t="s">
        <v>2918</v>
      </c>
      <c r="F291" s="4729"/>
      <c r="G291" s="4729"/>
      <c r="H291" s="4729"/>
    </row>
    <row r="292" spans="1:8" ht="12.75" customHeight="1">
      <c r="C292" s="1385" t="s">
        <v>3951</v>
      </c>
      <c r="E292" s="4729" t="s">
        <v>3036</v>
      </c>
      <c r="F292" s="4729"/>
      <c r="G292" s="4729"/>
      <c r="H292" s="4729"/>
    </row>
    <row r="293" spans="1:8" ht="12.75" customHeight="1">
      <c r="C293" s="1386"/>
      <c r="D293" s="1384" t="s">
        <v>2917</v>
      </c>
      <c r="E293" s="4732" t="s">
        <v>3037</v>
      </c>
      <c r="F293" s="4732"/>
      <c r="G293" s="4732"/>
      <c r="H293" s="4732"/>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9" t="s">
        <v>2918</v>
      </c>
      <c r="F296" s="4729"/>
      <c r="G296" s="4729"/>
      <c r="H296" s="4729"/>
    </row>
    <row r="297" spans="1:8" ht="12.75" customHeight="1">
      <c r="C297" s="1385" t="s">
        <v>3951</v>
      </c>
      <c r="E297" s="4729" t="s">
        <v>3036</v>
      </c>
      <c r="F297" s="4729"/>
      <c r="G297" s="4729"/>
      <c r="H297" s="4729"/>
    </row>
    <row r="298" spans="1:8" ht="12.75" customHeight="1">
      <c r="C298" s="1386"/>
      <c r="D298" s="1384" t="s">
        <v>2917</v>
      </c>
      <c r="E298" s="4732" t="s">
        <v>3037</v>
      </c>
      <c r="F298" s="4732"/>
      <c r="G298" s="4732"/>
      <c r="H298" s="4732"/>
    </row>
    <row r="299" spans="1:8" ht="6" customHeight="1">
      <c r="D299" s="627"/>
      <c r="E299" s="1004"/>
      <c r="F299" s="1004"/>
      <c r="G299" s="1004"/>
      <c r="H299" s="1004"/>
    </row>
    <row r="300" spans="1:8">
      <c r="A300" s="608" t="s">
        <v>2913</v>
      </c>
      <c r="B300" s="625">
        <f>IF('Part V-Revenues &amp; Expenses'!$M$59=0,"",'Part V-Revenues &amp; Expenses'!$M$59)</f>
        <v>27</v>
      </c>
      <c r="C300" s="608" t="s">
        <v>2915</v>
      </c>
      <c r="D300" s="626" t="s">
        <v>3039</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9" t="s">
        <v>2918</v>
      </c>
      <c r="F303" s="4729"/>
      <c r="G303" s="4729"/>
      <c r="H303" s="4729"/>
    </row>
    <row r="304" spans="1:8" ht="12.75" customHeight="1">
      <c r="C304" s="1385" t="s">
        <v>3951</v>
      </c>
      <c r="E304" s="4729" t="s">
        <v>3036</v>
      </c>
      <c r="F304" s="4729"/>
      <c r="G304" s="4729"/>
      <c r="H304" s="4729"/>
    </row>
    <row r="305" spans="1:8" ht="12.75" customHeight="1">
      <c r="C305" s="1386"/>
      <c r="D305" s="630" t="s">
        <v>2917</v>
      </c>
      <c r="E305" s="4729" t="s">
        <v>3037</v>
      </c>
      <c r="F305" s="4729"/>
      <c r="G305" s="4729"/>
      <c r="H305" s="4729"/>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9" t="s">
        <v>2918</v>
      </c>
      <c r="F308" s="4729"/>
      <c r="G308" s="4729"/>
      <c r="H308" s="4729"/>
    </row>
    <row r="309" spans="1:8" ht="12.75" customHeight="1">
      <c r="C309" s="1385" t="s">
        <v>3951</v>
      </c>
      <c r="E309" s="4729" t="s">
        <v>3036</v>
      </c>
      <c r="F309" s="4729"/>
      <c r="G309" s="4729"/>
      <c r="H309" s="4729"/>
    </row>
    <row r="310" spans="1:8" ht="12.75" customHeight="1">
      <c r="C310" s="1386"/>
      <c r="D310" s="1384" t="s">
        <v>2917</v>
      </c>
      <c r="E310" s="4732" t="s">
        <v>3037</v>
      </c>
      <c r="F310" s="4732"/>
      <c r="G310" s="4732"/>
      <c r="H310" s="4732"/>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9" t="s">
        <v>2918</v>
      </c>
      <c r="F313" s="4729"/>
      <c r="G313" s="4729"/>
      <c r="H313" s="4729"/>
    </row>
    <row r="314" spans="1:8" ht="12.75" customHeight="1">
      <c r="C314" s="1385" t="s">
        <v>3951</v>
      </c>
      <c r="E314" s="4729" t="s">
        <v>3036</v>
      </c>
      <c r="F314" s="4729"/>
      <c r="G314" s="4729"/>
      <c r="H314" s="4729"/>
    </row>
    <row r="315" spans="1:8" ht="12.75" customHeight="1">
      <c r="C315" s="1386"/>
      <c r="D315" s="1384" t="s">
        <v>2917</v>
      </c>
      <c r="E315" s="4732" t="s">
        <v>3037</v>
      </c>
      <c r="F315" s="4732"/>
      <c r="G315" s="4732"/>
      <c r="H315" s="4732"/>
    </row>
    <row r="316" spans="1:8" ht="6" customHeight="1">
      <c r="D316" s="627"/>
      <c r="E316" s="1004"/>
      <c r="F316" s="1004"/>
      <c r="G316" s="1004"/>
      <c r="H316" s="1004"/>
    </row>
    <row r="317" spans="1:8">
      <c r="A317" s="608" t="s">
        <v>2913</v>
      </c>
      <c r="B317" s="625">
        <f>IF('Part V-Revenues &amp; Expenses'!$N$59=0,"",'Part V-Revenues &amp; Expenses'!$N$59)</f>
        <v>5</v>
      </c>
      <c r="C317" s="608" t="s">
        <v>2916</v>
      </c>
      <c r="D317" s="626" t="s">
        <v>3040</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9" t="s">
        <v>2918</v>
      </c>
      <c r="F320" s="4729"/>
      <c r="G320" s="4729"/>
      <c r="H320" s="4729"/>
    </row>
    <row r="321" spans="1:11" ht="12.75" customHeight="1">
      <c r="C321" s="1385" t="s">
        <v>3951</v>
      </c>
      <c r="E321" s="4729" t="s">
        <v>3036</v>
      </c>
      <c r="F321" s="4729"/>
      <c r="G321" s="4729"/>
      <c r="H321" s="4729"/>
    </row>
    <row r="322" spans="1:11" ht="12.75" customHeight="1">
      <c r="C322" s="1386"/>
      <c r="D322" s="630" t="s">
        <v>2917</v>
      </c>
      <c r="E322" s="4729" t="s">
        <v>3037</v>
      </c>
      <c r="F322" s="4729"/>
      <c r="G322" s="4729"/>
      <c r="H322" s="4729"/>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9" t="s">
        <v>2918</v>
      </c>
      <c r="F325" s="4729"/>
      <c r="G325" s="4729"/>
      <c r="H325" s="4729"/>
    </row>
    <row r="326" spans="1:11" ht="12.75" customHeight="1">
      <c r="C326" s="1385" t="s">
        <v>3951</v>
      </c>
      <c r="E326" s="4729" t="s">
        <v>3036</v>
      </c>
      <c r="F326" s="4729"/>
      <c r="G326" s="4729"/>
      <c r="H326" s="4729"/>
    </row>
    <row r="327" spans="1:11" ht="12.75" customHeight="1">
      <c r="C327" s="1386"/>
      <c r="D327" s="1384" t="s">
        <v>2917</v>
      </c>
      <c r="E327" s="4732" t="s">
        <v>3037</v>
      </c>
      <c r="F327" s="4732"/>
      <c r="G327" s="4732"/>
      <c r="H327" s="4732"/>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9" t="s">
        <v>2918</v>
      </c>
      <c r="F330" s="4729"/>
      <c r="G330" s="4729"/>
      <c r="H330" s="4729"/>
    </row>
    <row r="331" spans="1:11" ht="12.75" customHeight="1">
      <c r="C331" s="1385" t="s">
        <v>3951</v>
      </c>
      <c r="E331" s="4729" t="s">
        <v>3036</v>
      </c>
      <c r="F331" s="4729"/>
      <c r="G331" s="4729"/>
      <c r="H331" s="4729"/>
    </row>
    <row r="332" spans="1:11" ht="12.75" customHeight="1">
      <c r="C332" s="1386"/>
      <c r="D332" s="1384" t="s">
        <v>2917</v>
      </c>
      <c r="E332" s="4732" t="s">
        <v>3037</v>
      </c>
      <c r="F332" s="4732"/>
      <c r="G332" s="4732"/>
      <c r="H332" s="4732"/>
    </row>
    <row r="333" spans="1:11" ht="6" customHeight="1">
      <c r="D333" s="627"/>
      <c r="E333" s="1004"/>
      <c r="F333" s="1004"/>
      <c r="G333" s="1004"/>
      <c r="H333" s="1004"/>
    </row>
    <row r="334" spans="1:11">
      <c r="A334" s="608" t="s">
        <v>2913</v>
      </c>
      <c r="B334" s="625" t="str">
        <f>IF('Part V-Revenues &amp; Expenses'!$O$59=0,"",'Part V-Revenues &amp; Expenses'!$O$59)</f>
        <v/>
      </c>
      <c r="C334" s="608" t="s">
        <v>3949</v>
      </c>
      <c r="D334" s="626" t="s">
        <v>3950</v>
      </c>
    </row>
    <row r="335" spans="1:11" ht="1.9" customHeight="1"/>
    <row r="336" spans="1:11" ht="12.75" customHeight="1">
      <c r="C336" s="605" t="s">
        <v>2878</v>
      </c>
      <c r="D336" s="627" t="s">
        <v>1839</v>
      </c>
      <c r="E336" s="628"/>
      <c r="F336" s="4729" t="s">
        <v>2879</v>
      </c>
      <c r="G336" s="4729"/>
      <c r="H336" s="4729"/>
      <c r="K336" s="431" t="s">
        <v>233</v>
      </c>
    </row>
    <row r="337" spans="1:8" ht="12.75" customHeight="1">
      <c r="C337" s="629" t="s">
        <v>1273</v>
      </c>
      <c r="D337" s="627" t="s">
        <v>1841</v>
      </c>
      <c r="E337" s="4729" t="s">
        <v>2919</v>
      </c>
      <c r="F337" s="4729"/>
      <c r="G337" s="4729"/>
      <c r="H337" s="4729"/>
    </row>
    <row r="338" spans="1:8" ht="12.75" customHeight="1">
      <c r="E338" s="4729" t="s">
        <v>3036</v>
      </c>
      <c r="F338" s="4729"/>
      <c r="G338" s="4729"/>
      <c r="H338" s="4729"/>
    </row>
    <row r="339" spans="1:8" ht="12.75" customHeight="1">
      <c r="D339" s="630" t="s">
        <v>2917</v>
      </c>
      <c r="E339" s="4729" t="s">
        <v>3037</v>
      </c>
      <c r="F339" s="4729"/>
      <c r="G339" s="4729"/>
      <c r="H339" s="4729"/>
    </row>
    <row r="340" spans="1:8" ht="9" customHeight="1"/>
    <row r="341" spans="1:8" ht="7.5" customHeight="1" thickBot="1">
      <c r="E341" s="4729"/>
      <c r="F341" s="4729"/>
      <c r="G341" s="4729"/>
      <c r="H341" s="4729"/>
    </row>
    <row r="342" spans="1:8" ht="16.149999999999999" customHeight="1" thickBot="1">
      <c r="A342" s="4730">
        <v>60</v>
      </c>
      <c r="B342" s="4731"/>
      <c r="C342" s="1387" t="s">
        <v>974</v>
      </c>
    </row>
    <row r="343" spans="1:8" ht="9" customHeight="1">
      <c r="A343" s="600"/>
    </row>
    <row r="344" spans="1:8" ht="28.15" customHeight="1">
      <c r="A344" s="4729" t="s">
        <v>3956</v>
      </c>
      <c r="B344" s="4729"/>
      <c r="C344" s="4729"/>
      <c r="D344" s="4729"/>
      <c r="E344" s="4729"/>
      <c r="F344" s="4729"/>
      <c r="G344" s="4729"/>
      <c r="H344" s="4729"/>
    </row>
    <row r="345" spans="1:8" ht="9" customHeight="1">
      <c r="A345" s="600"/>
    </row>
    <row r="346" spans="1:8">
      <c r="A346" s="608" t="s">
        <v>2913</v>
      </c>
      <c r="B346" s="625" t="str">
        <f>IF('Part V-Revenues &amp; Expenses'!$K$58=0,"",'Part V-Revenues &amp; Expenses'!$K$58)</f>
        <v/>
      </c>
      <c r="C346" s="608" t="s">
        <v>3946</v>
      </c>
      <c r="D346" s="626" t="s">
        <v>3947</v>
      </c>
    </row>
    <row r="347" spans="1:8" ht="1.9" customHeight="1"/>
    <row r="348" spans="1:8" ht="12.75" customHeight="1">
      <c r="C348" s="605" t="s">
        <v>2878</v>
      </c>
      <c r="D348" s="627" t="s">
        <v>1839</v>
      </c>
      <c r="E348" s="628"/>
      <c r="F348" s="4729" t="s">
        <v>2879</v>
      </c>
      <c r="G348" s="4729"/>
      <c r="H348" s="4729"/>
    </row>
    <row r="349" spans="1:8" ht="12.75" customHeight="1">
      <c r="C349" s="629" t="s">
        <v>1273</v>
      </c>
      <c r="D349" s="627" t="s">
        <v>1841</v>
      </c>
      <c r="E349" s="4729" t="s">
        <v>2918</v>
      </c>
      <c r="F349" s="4729"/>
      <c r="G349" s="4729"/>
      <c r="H349" s="4729"/>
    </row>
    <row r="350" spans="1:8" ht="12.75" customHeight="1">
      <c r="C350" s="1385" t="s">
        <v>3951</v>
      </c>
      <c r="E350" s="4729" t="s">
        <v>3036</v>
      </c>
      <c r="F350" s="4729"/>
      <c r="G350" s="4729"/>
      <c r="H350" s="4729"/>
    </row>
    <row r="351" spans="1:8" ht="12.75" customHeight="1">
      <c r="C351" s="1386"/>
      <c r="D351" s="1384" t="s">
        <v>2917</v>
      </c>
      <c r="E351" s="4732" t="s">
        <v>3037</v>
      </c>
      <c r="F351" s="4732"/>
      <c r="G351" s="4732"/>
      <c r="H351" s="4732"/>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9" t="s">
        <v>2918</v>
      </c>
      <c r="F354" s="4729"/>
      <c r="G354" s="4729"/>
      <c r="H354" s="4729"/>
    </row>
    <row r="355" spans="1:8" ht="12.75" customHeight="1">
      <c r="C355" s="1385" t="s">
        <v>3951</v>
      </c>
      <c r="E355" s="4729" t="s">
        <v>3036</v>
      </c>
      <c r="F355" s="4729"/>
      <c r="G355" s="4729"/>
      <c r="H355" s="4729"/>
    </row>
    <row r="356" spans="1:8" ht="12.75" customHeight="1">
      <c r="C356" s="1386"/>
      <c r="D356" s="1384" t="s">
        <v>2917</v>
      </c>
      <c r="E356" s="4732" t="s">
        <v>3037</v>
      </c>
      <c r="F356" s="4732"/>
      <c r="G356" s="4732"/>
      <c r="H356" s="4732"/>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9" t="s">
        <v>2918</v>
      </c>
      <c r="F359" s="4729"/>
      <c r="G359" s="4729"/>
      <c r="H359" s="4729"/>
    </row>
    <row r="360" spans="1:8" ht="12.75" customHeight="1">
      <c r="C360" s="1385" t="s">
        <v>3951</v>
      </c>
      <c r="E360" s="4729" t="s">
        <v>3036</v>
      </c>
      <c r="F360" s="4729"/>
      <c r="G360" s="4729"/>
      <c r="H360" s="4729"/>
    </row>
    <row r="361" spans="1:8" ht="12.75" customHeight="1">
      <c r="C361" s="1386"/>
      <c r="D361" s="1384" t="s">
        <v>2917</v>
      </c>
      <c r="E361" s="4732" t="s">
        <v>3037</v>
      </c>
      <c r="F361" s="4732"/>
      <c r="G361" s="4732"/>
      <c r="H361" s="4732"/>
    </row>
    <row r="362" spans="1:8" ht="6" customHeight="1">
      <c r="D362" s="627"/>
      <c r="E362" s="1004"/>
      <c r="F362" s="1004"/>
      <c r="G362" s="1004"/>
      <c r="H362" s="1004"/>
    </row>
    <row r="363" spans="1:8">
      <c r="A363" s="608" t="s">
        <v>2913</v>
      </c>
      <c r="B363" s="625" t="str">
        <f>IF('Part V-Revenues &amp; Expenses'!$L$58=0,"",'Part V-Revenues &amp; Expenses'!$L$58)</f>
        <v/>
      </c>
      <c r="C363" s="608" t="s">
        <v>2914</v>
      </c>
      <c r="D363" s="626" t="s">
        <v>3038</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9" t="s">
        <v>2918</v>
      </c>
      <c r="F366" s="4729"/>
      <c r="G366" s="4729"/>
      <c r="H366" s="4729"/>
    </row>
    <row r="367" spans="1:8" ht="12.75" customHeight="1">
      <c r="C367" s="1385" t="s">
        <v>3951</v>
      </c>
      <c r="E367" s="4729" t="s">
        <v>3036</v>
      </c>
      <c r="F367" s="4729"/>
      <c r="G367" s="4729"/>
      <c r="H367" s="4729"/>
    </row>
    <row r="368" spans="1:8" ht="12.75" customHeight="1">
      <c r="C368" s="1386"/>
      <c r="D368" s="630" t="s">
        <v>2917</v>
      </c>
      <c r="E368" s="4729" t="s">
        <v>3037</v>
      </c>
      <c r="F368" s="4729"/>
      <c r="G368" s="4729"/>
      <c r="H368" s="4729"/>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9" t="s">
        <v>2918</v>
      </c>
      <c r="F371" s="4729"/>
      <c r="G371" s="4729"/>
      <c r="H371" s="4729"/>
    </row>
    <row r="372" spans="1:8" ht="12.75" customHeight="1">
      <c r="C372" s="1385" t="s">
        <v>3951</v>
      </c>
      <c r="E372" s="4729" t="s">
        <v>3036</v>
      </c>
      <c r="F372" s="4729"/>
      <c r="G372" s="4729"/>
      <c r="H372" s="4729"/>
    </row>
    <row r="373" spans="1:8" ht="12.75" customHeight="1">
      <c r="C373" s="1386"/>
      <c r="D373" s="1384" t="s">
        <v>2917</v>
      </c>
      <c r="E373" s="4732" t="s">
        <v>3037</v>
      </c>
      <c r="F373" s="4732"/>
      <c r="G373" s="4732"/>
      <c r="H373" s="4732"/>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9" t="s">
        <v>2918</v>
      </c>
      <c r="F376" s="4729"/>
      <c r="G376" s="4729"/>
      <c r="H376" s="4729"/>
    </row>
    <row r="377" spans="1:8" ht="12.75" customHeight="1">
      <c r="C377" s="1385" t="s">
        <v>3951</v>
      </c>
      <c r="E377" s="4729" t="s">
        <v>3036</v>
      </c>
      <c r="F377" s="4729"/>
      <c r="G377" s="4729"/>
      <c r="H377" s="4729"/>
    </row>
    <row r="378" spans="1:8" ht="12.75" customHeight="1">
      <c r="C378" s="1386"/>
      <c r="D378" s="1384" t="s">
        <v>2917</v>
      </c>
      <c r="E378" s="4732" t="s">
        <v>3037</v>
      </c>
      <c r="F378" s="4732"/>
      <c r="G378" s="4732"/>
      <c r="H378" s="4732"/>
    </row>
    <row r="379" spans="1:8" ht="6" customHeight="1">
      <c r="D379" s="627"/>
      <c r="E379" s="1004"/>
      <c r="F379" s="1004"/>
      <c r="G379" s="1004"/>
      <c r="H379" s="1004"/>
    </row>
    <row r="380" spans="1:8">
      <c r="A380" s="608" t="s">
        <v>2913</v>
      </c>
      <c r="B380" s="625" t="str">
        <f>IF('Part V-Revenues &amp; Expenses'!$M$58=0,"",'Part V-Revenues &amp; Expenses'!$M$58)</f>
        <v/>
      </c>
      <c r="C380" s="608" t="s">
        <v>2915</v>
      </c>
      <c r="D380" s="626" t="s">
        <v>3039</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9" t="s">
        <v>2918</v>
      </c>
      <c r="F383" s="4729"/>
      <c r="G383" s="4729"/>
      <c r="H383" s="4729"/>
    </row>
    <row r="384" spans="1:8" ht="12.75" customHeight="1">
      <c r="C384" s="1385" t="s">
        <v>3951</v>
      </c>
      <c r="E384" s="4729" t="s">
        <v>3036</v>
      </c>
      <c r="F384" s="4729"/>
      <c r="G384" s="4729"/>
      <c r="H384" s="4729"/>
    </row>
    <row r="385" spans="1:8" ht="12.75" customHeight="1">
      <c r="C385" s="1386"/>
      <c r="D385" s="630" t="s">
        <v>2917</v>
      </c>
      <c r="E385" s="4729" t="s">
        <v>3037</v>
      </c>
      <c r="F385" s="4729"/>
      <c r="G385" s="4729"/>
      <c r="H385" s="4729"/>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9" t="s">
        <v>2918</v>
      </c>
      <c r="F388" s="4729"/>
      <c r="G388" s="4729"/>
      <c r="H388" s="4729"/>
    </row>
    <row r="389" spans="1:8" ht="12.75" customHeight="1">
      <c r="C389" s="1385" t="s">
        <v>3951</v>
      </c>
      <c r="E389" s="4729" t="s">
        <v>3036</v>
      </c>
      <c r="F389" s="4729"/>
      <c r="G389" s="4729"/>
      <c r="H389" s="4729"/>
    </row>
    <row r="390" spans="1:8" ht="12.75" customHeight="1">
      <c r="C390" s="1386"/>
      <c r="D390" s="1384" t="s">
        <v>2917</v>
      </c>
      <c r="E390" s="4732" t="s">
        <v>3037</v>
      </c>
      <c r="F390" s="4732"/>
      <c r="G390" s="4732"/>
      <c r="H390" s="4732"/>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9" t="s">
        <v>2918</v>
      </c>
      <c r="F393" s="4729"/>
      <c r="G393" s="4729"/>
      <c r="H393" s="4729"/>
    </row>
    <row r="394" spans="1:8" ht="12.75" customHeight="1">
      <c r="C394" s="1385" t="s">
        <v>3951</v>
      </c>
      <c r="E394" s="4729" t="s">
        <v>3036</v>
      </c>
      <c r="F394" s="4729"/>
      <c r="G394" s="4729"/>
      <c r="H394" s="4729"/>
    </row>
    <row r="395" spans="1:8" ht="12.75" customHeight="1">
      <c r="C395" s="1386"/>
      <c r="D395" s="1384" t="s">
        <v>2917</v>
      </c>
      <c r="E395" s="4732" t="s">
        <v>3037</v>
      </c>
      <c r="F395" s="4732"/>
      <c r="G395" s="4732"/>
      <c r="H395" s="4732"/>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3040</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9" t="s">
        <v>2918</v>
      </c>
      <c r="F400" s="4729"/>
      <c r="G400" s="4729"/>
      <c r="H400" s="4729"/>
    </row>
    <row r="401" spans="1:11" ht="12.75" customHeight="1">
      <c r="C401" s="1385" t="s">
        <v>3951</v>
      </c>
      <c r="E401" s="4729" t="s">
        <v>3036</v>
      </c>
      <c r="F401" s="4729"/>
      <c r="G401" s="4729"/>
      <c r="H401" s="4729"/>
    </row>
    <row r="402" spans="1:11" ht="12.75" customHeight="1">
      <c r="C402" s="1386"/>
      <c r="D402" s="630" t="s">
        <v>2917</v>
      </c>
      <c r="E402" s="4729" t="s">
        <v>3037</v>
      </c>
      <c r="F402" s="4729"/>
      <c r="G402" s="4729"/>
      <c r="H402" s="4729"/>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9" t="s">
        <v>2918</v>
      </c>
      <c r="F405" s="4729"/>
      <c r="G405" s="4729"/>
      <c r="H405" s="4729"/>
    </row>
    <row r="406" spans="1:11" ht="12.75" customHeight="1">
      <c r="C406" s="1385" t="s">
        <v>3951</v>
      </c>
      <c r="E406" s="4729" t="s">
        <v>3036</v>
      </c>
      <c r="F406" s="4729"/>
      <c r="G406" s="4729"/>
      <c r="H406" s="4729"/>
    </row>
    <row r="407" spans="1:11" ht="12.75" customHeight="1">
      <c r="C407" s="1386"/>
      <c r="D407" s="1384" t="s">
        <v>2917</v>
      </c>
      <c r="E407" s="4732" t="s">
        <v>3037</v>
      </c>
      <c r="F407" s="4732"/>
      <c r="G407" s="4732"/>
      <c r="H407" s="4732"/>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9" t="s">
        <v>2918</v>
      </c>
      <c r="F410" s="4729"/>
      <c r="G410" s="4729"/>
      <c r="H410" s="4729"/>
    </row>
    <row r="411" spans="1:11" ht="12.75" customHeight="1">
      <c r="C411" s="1385" t="s">
        <v>3951</v>
      </c>
      <c r="E411" s="4729" t="s">
        <v>3036</v>
      </c>
      <c r="F411" s="4729"/>
      <c r="G411" s="4729"/>
      <c r="H411" s="4729"/>
    </row>
    <row r="412" spans="1:11" ht="12.75" customHeight="1">
      <c r="C412" s="1386"/>
      <c r="D412" s="1384" t="s">
        <v>2917</v>
      </c>
      <c r="E412" s="4732" t="s">
        <v>3037</v>
      </c>
      <c r="F412" s="4732"/>
      <c r="G412" s="4732"/>
      <c r="H412" s="4732"/>
    </row>
    <row r="413" spans="1:11" ht="6" customHeight="1">
      <c r="D413" s="627"/>
      <c r="E413" s="1004"/>
      <c r="F413" s="1004"/>
      <c r="G413" s="1004"/>
      <c r="H413" s="1004"/>
    </row>
    <row r="414" spans="1:11">
      <c r="A414" s="608" t="s">
        <v>2913</v>
      </c>
      <c r="B414" s="625" t="str">
        <f>IF('Part V-Revenues &amp; Expenses'!$O$58=0,"",'Part V-Revenues &amp; Expenses'!$O$58)</f>
        <v/>
      </c>
      <c r="C414" s="608" t="s">
        <v>3949</v>
      </c>
      <c r="D414" s="626" t="s">
        <v>3950</v>
      </c>
    </row>
    <row r="415" spans="1:11" ht="1.9" customHeight="1"/>
    <row r="416" spans="1:11" ht="12.75" customHeight="1">
      <c r="C416" s="605" t="s">
        <v>2878</v>
      </c>
      <c r="D416" s="627" t="s">
        <v>1839</v>
      </c>
      <c r="E416" s="628"/>
      <c r="F416" s="4729" t="s">
        <v>2879</v>
      </c>
      <c r="G416" s="4729"/>
      <c r="H416" s="4729"/>
      <c r="K416" s="431" t="s">
        <v>233</v>
      </c>
    </row>
    <row r="417" spans="1:8" ht="12.75" customHeight="1">
      <c r="C417" s="629" t="s">
        <v>1273</v>
      </c>
      <c r="D417" s="627" t="s">
        <v>1841</v>
      </c>
      <c r="E417" s="4729" t="s">
        <v>2919</v>
      </c>
      <c r="F417" s="4729"/>
      <c r="G417" s="4729"/>
      <c r="H417" s="4729"/>
    </row>
    <row r="418" spans="1:8" ht="12.75" customHeight="1">
      <c r="E418" s="4729" t="s">
        <v>3036</v>
      </c>
      <c r="F418" s="4729"/>
      <c r="G418" s="4729"/>
      <c r="H418" s="4729"/>
    </row>
    <row r="419" spans="1:8" ht="12.75" customHeight="1">
      <c r="D419" s="630" t="s">
        <v>2917</v>
      </c>
      <c r="E419" s="4729" t="s">
        <v>3037</v>
      </c>
      <c r="F419" s="4729"/>
      <c r="G419" s="4729"/>
      <c r="H419" s="4729"/>
    </row>
    <row r="420" spans="1:8" ht="9" customHeight="1" thickBot="1"/>
    <row r="421" spans="1:8" ht="16.149999999999999" customHeight="1" thickBot="1">
      <c r="A421" s="4730">
        <v>70</v>
      </c>
      <c r="B421" s="4731"/>
      <c r="C421" s="1387" t="s">
        <v>974</v>
      </c>
    </row>
    <row r="422" spans="1:8" ht="9" customHeight="1">
      <c r="A422" s="600"/>
    </row>
    <row r="423" spans="1:8" ht="28.15" customHeight="1">
      <c r="A423" s="4729" t="s">
        <v>3957</v>
      </c>
      <c r="B423" s="4729"/>
      <c r="C423" s="4729"/>
      <c r="D423" s="4729"/>
      <c r="E423" s="4729"/>
      <c r="F423" s="4729"/>
      <c r="G423" s="4729"/>
      <c r="H423" s="4729"/>
    </row>
    <row r="424" spans="1:8" ht="9" customHeight="1">
      <c r="A424" s="600"/>
    </row>
    <row r="425" spans="1:8">
      <c r="A425" s="608" t="s">
        <v>2913</v>
      </c>
      <c r="B425" s="625" t="str">
        <f>IF('Part V-Revenues &amp; Expenses'!$K$57=0,"",'Part V-Revenues &amp; Expenses'!$K$57)</f>
        <v/>
      </c>
      <c r="C425" s="608" t="s">
        <v>3946</v>
      </c>
      <c r="D425" s="626" t="s">
        <v>3947</v>
      </c>
    </row>
    <row r="426" spans="1:8" ht="1.9" customHeight="1"/>
    <row r="427" spans="1:8" ht="12.75" customHeight="1">
      <c r="C427" s="605" t="s">
        <v>2878</v>
      </c>
      <c r="D427" s="627" t="s">
        <v>1839</v>
      </c>
      <c r="E427" s="628"/>
      <c r="F427" s="4729" t="s">
        <v>2879</v>
      </c>
      <c r="G427" s="4729"/>
      <c r="H427" s="4729"/>
    </row>
    <row r="428" spans="1:8" ht="12.75" customHeight="1">
      <c r="C428" s="629" t="s">
        <v>1273</v>
      </c>
      <c r="D428" s="627" t="s">
        <v>1841</v>
      </c>
      <c r="E428" s="4729" t="s">
        <v>2918</v>
      </c>
      <c r="F428" s="4729"/>
      <c r="G428" s="4729"/>
      <c r="H428" s="4729"/>
    </row>
    <row r="429" spans="1:8" ht="12.75" customHeight="1">
      <c r="C429" s="1385" t="s">
        <v>3951</v>
      </c>
      <c r="E429" s="4729" t="s">
        <v>3036</v>
      </c>
      <c r="F429" s="4729"/>
      <c r="G429" s="4729"/>
      <c r="H429" s="4729"/>
    </row>
    <row r="430" spans="1:8" ht="12.75" customHeight="1">
      <c r="C430" s="1386"/>
      <c r="D430" s="1384" t="s">
        <v>2917</v>
      </c>
      <c r="E430" s="4732" t="s">
        <v>3037</v>
      </c>
      <c r="F430" s="4732"/>
      <c r="G430" s="4732"/>
      <c r="H430" s="4732"/>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9" t="s">
        <v>2918</v>
      </c>
      <c r="F433" s="4729"/>
      <c r="G433" s="4729"/>
      <c r="H433" s="4729"/>
    </row>
    <row r="434" spans="1:8" ht="12.75" customHeight="1">
      <c r="C434" s="1385" t="s">
        <v>3951</v>
      </c>
      <c r="E434" s="4729" t="s">
        <v>3036</v>
      </c>
      <c r="F434" s="4729"/>
      <c r="G434" s="4729"/>
      <c r="H434" s="4729"/>
    </row>
    <row r="435" spans="1:8" ht="12.75" customHeight="1">
      <c r="C435" s="1386"/>
      <c r="D435" s="1384" t="s">
        <v>2917</v>
      </c>
      <c r="E435" s="4732" t="s">
        <v>3037</v>
      </c>
      <c r="F435" s="4732"/>
      <c r="G435" s="4732"/>
      <c r="H435" s="4732"/>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9" t="s">
        <v>2918</v>
      </c>
      <c r="F438" s="4729"/>
      <c r="G438" s="4729"/>
      <c r="H438" s="4729"/>
    </row>
    <row r="439" spans="1:8" ht="12.75" customHeight="1">
      <c r="C439" s="1385" t="s">
        <v>3951</v>
      </c>
      <c r="E439" s="4729" t="s">
        <v>3036</v>
      </c>
      <c r="F439" s="4729"/>
      <c r="G439" s="4729"/>
      <c r="H439" s="4729"/>
    </row>
    <row r="440" spans="1:8" ht="12.75" customHeight="1">
      <c r="C440" s="1386"/>
      <c r="D440" s="1384" t="s">
        <v>2917</v>
      </c>
      <c r="E440" s="4732" t="s">
        <v>3037</v>
      </c>
      <c r="F440" s="4732"/>
      <c r="G440" s="4732"/>
      <c r="H440" s="4732"/>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3038</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9" t="s">
        <v>2918</v>
      </c>
      <c r="F445" s="4729"/>
      <c r="G445" s="4729"/>
      <c r="H445" s="4729"/>
    </row>
    <row r="446" spans="1:8" ht="12.75" customHeight="1">
      <c r="C446" s="1385" t="s">
        <v>3951</v>
      </c>
      <c r="E446" s="4729" t="s">
        <v>3036</v>
      </c>
      <c r="F446" s="4729"/>
      <c r="G446" s="4729"/>
      <c r="H446" s="4729"/>
    </row>
    <row r="447" spans="1:8" ht="12.75" customHeight="1">
      <c r="C447" s="1386"/>
      <c r="D447" s="630" t="s">
        <v>2917</v>
      </c>
      <c r="E447" s="4729" t="s">
        <v>3037</v>
      </c>
      <c r="F447" s="4729"/>
      <c r="G447" s="4729"/>
      <c r="H447" s="4729"/>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9" t="s">
        <v>2918</v>
      </c>
      <c r="F450" s="4729"/>
      <c r="G450" s="4729"/>
      <c r="H450" s="4729"/>
    </row>
    <row r="451" spans="1:8" ht="12.75" customHeight="1">
      <c r="C451" s="1385" t="s">
        <v>3951</v>
      </c>
      <c r="E451" s="4729" t="s">
        <v>3036</v>
      </c>
      <c r="F451" s="4729"/>
      <c r="G451" s="4729"/>
      <c r="H451" s="4729"/>
    </row>
    <row r="452" spans="1:8" ht="12.75" customHeight="1">
      <c r="C452" s="1386"/>
      <c r="D452" s="1384" t="s">
        <v>2917</v>
      </c>
      <c r="E452" s="4732" t="s">
        <v>3037</v>
      </c>
      <c r="F452" s="4732"/>
      <c r="G452" s="4732"/>
      <c r="H452" s="4732"/>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9" t="s">
        <v>2918</v>
      </c>
      <c r="F455" s="4729"/>
      <c r="G455" s="4729"/>
      <c r="H455" s="4729"/>
    </row>
    <row r="456" spans="1:8" ht="12.75" customHeight="1">
      <c r="C456" s="1385" t="s">
        <v>3951</v>
      </c>
      <c r="E456" s="4729" t="s">
        <v>3036</v>
      </c>
      <c r="F456" s="4729"/>
      <c r="G456" s="4729"/>
      <c r="H456" s="4729"/>
    </row>
    <row r="457" spans="1:8" ht="12.75" customHeight="1">
      <c r="C457" s="1386"/>
      <c r="D457" s="1384" t="s">
        <v>2917</v>
      </c>
      <c r="E457" s="4732" t="s">
        <v>3037</v>
      </c>
      <c r="F457" s="4732"/>
      <c r="G457" s="4732"/>
      <c r="H457" s="4732"/>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3039</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9" t="s">
        <v>2918</v>
      </c>
      <c r="F462" s="4729"/>
      <c r="G462" s="4729"/>
      <c r="H462" s="4729"/>
    </row>
    <row r="463" spans="1:8" ht="12.75" customHeight="1">
      <c r="C463" s="1385" t="s">
        <v>3951</v>
      </c>
      <c r="E463" s="4729" t="s">
        <v>3036</v>
      </c>
      <c r="F463" s="4729"/>
      <c r="G463" s="4729"/>
      <c r="H463" s="4729"/>
    </row>
    <row r="464" spans="1:8" ht="12.75" customHeight="1">
      <c r="C464" s="1386"/>
      <c r="D464" s="630" t="s">
        <v>2917</v>
      </c>
      <c r="E464" s="4729" t="s">
        <v>3037</v>
      </c>
      <c r="F464" s="4729"/>
      <c r="G464" s="4729"/>
      <c r="H464" s="4729"/>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9" t="s">
        <v>2918</v>
      </c>
      <c r="F467" s="4729"/>
      <c r="G467" s="4729"/>
      <c r="H467" s="4729"/>
    </row>
    <row r="468" spans="1:8" ht="12.75" customHeight="1">
      <c r="C468" s="1385" t="s">
        <v>3951</v>
      </c>
      <c r="E468" s="4729" t="s">
        <v>3036</v>
      </c>
      <c r="F468" s="4729"/>
      <c r="G468" s="4729"/>
      <c r="H468" s="4729"/>
    </row>
    <row r="469" spans="1:8" ht="12.75" customHeight="1">
      <c r="C469" s="1386"/>
      <c r="D469" s="1384" t="s">
        <v>2917</v>
      </c>
      <c r="E469" s="4732" t="s">
        <v>3037</v>
      </c>
      <c r="F469" s="4732"/>
      <c r="G469" s="4732"/>
      <c r="H469" s="4732"/>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9" t="s">
        <v>2918</v>
      </c>
      <c r="F472" s="4729"/>
      <c r="G472" s="4729"/>
      <c r="H472" s="4729"/>
    </row>
    <row r="473" spans="1:8" ht="12.75" customHeight="1">
      <c r="C473" s="1385" t="s">
        <v>3951</v>
      </c>
      <c r="E473" s="4729" t="s">
        <v>3036</v>
      </c>
      <c r="F473" s="4729"/>
      <c r="G473" s="4729"/>
      <c r="H473" s="4729"/>
    </row>
    <row r="474" spans="1:8" ht="12.75" customHeight="1">
      <c r="C474" s="1386"/>
      <c r="D474" s="1384" t="s">
        <v>2917</v>
      </c>
      <c r="E474" s="4732" t="s">
        <v>3037</v>
      </c>
      <c r="F474" s="4732"/>
      <c r="G474" s="4732"/>
      <c r="H474" s="4732"/>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3040</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9" t="s">
        <v>2918</v>
      </c>
      <c r="F479" s="4729"/>
      <c r="G479" s="4729"/>
      <c r="H479" s="4729"/>
    </row>
    <row r="480" spans="1:8" ht="12.75" customHeight="1">
      <c r="C480" s="1385" t="s">
        <v>3951</v>
      </c>
      <c r="E480" s="4729" t="s">
        <v>3036</v>
      </c>
      <c r="F480" s="4729"/>
      <c r="G480" s="4729"/>
      <c r="H480" s="4729"/>
    </row>
    <row r="481" spans="1:11" ht="12.75" customHeight="1">
      <c r="C481" s="1386"/>
      <c r="D481" s="630" t="s">
        <v>2917</v>
      </c>
      <c r="E481" s="4729" t="s">
        <v>3037</v>
      </c>
      <c r="F481" s="4729"/>
      <c r="G481" s="4729"/>
      <c r="H481" s="4729"/>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9" t="s">
        <v>2918</v>
      </c>
      <c r="F484" s="4729"/>
      <c r="G484" s="4729"/>
      <c r="H484" s="4729"/>
    </row>
    <row r="485" spans="1:11" ht="12.75" customHeight="1">
      <c r="C485" s="1385" t="s">
        <v>3951</v>
      </c>
      <c r="E485" s="4729" t="s">
        <v>3036</v>
      </c>
      <c r="F485" s="4729"/>
      <c r="G485" s="4729"/>
      <c r="H485" s="4729"/>
    </row>
    <row r="486" spans="1:11" ht="12.75" customHeight="1">
      <c r="C486" s="1386"/>
      <c r="D486" s="1384" t="s">
        <v>2917</v>
      </c>
      <c r="E486" s="4732" t="s">
        <v>3037</v>
      </c>
      <c r="F486" s="4732"/>
      <c r="G486" s="4732"/>
      <c r="H486" s="4732"/>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9" t="s">
        <v>2918</v>
      </c>
      <c r="F489" s="4729"/>
      <c r="G489" s="4729"/>
      <c r="H489" s="4729"/>
    </row>
    <row r="490" spans="1:11" ht="12.75" customHeight="1">
      <c r="C490" s="1385" t="s">
        <v>3951</v>
      </c>
      <c r="E490" s="4729" t="s">
        <v>3036</v>
      </c>
      <c r="F490" s="4729"/>
      <c r="G490" s="4729"/>
      <c r="H490" s="4729"/>
    </row>
    <row r="491" spans="1:11" ht="12.75" customHeight="1">
      <c r="C491" s="1386"/>
      <c r="D491" s="1384" t="s">
        <v>2917</v>
      </c>
      <c r="E491" s="4732" t="s">
        <v>3037</v>
      </c>
      <c r="F491" s="4732"/>
      <c r="G491" s="4732"/>
      <c r="H491" s="4732"/>
    </row>
    <row r="492" spans="1:11" ht="6" customHeight="1">
      <c r="D492" s="627"/>
      <c r="E492" s="1004"/>
      <c r="F492" s="1004"/>
      <c r="G492" s="1004"/>
      <c r="H492" s="1004"/>
    </row>
    <row r="493" spans="1:11">
      <c r="A493" s="608" t="s">
        <v>2913</v>
      </c>
      <c r="B493" s="625" t="str">
        <f>IF('Part V-Revenues &amp; Expenses'!$O$57=0,"",'Part V-Revenues &amp; Expenses'!$O$57)</f>
        <v/>
      </c>
      <c r="C493" s="608" t="s">
        <v>3949</v>
      </c>
      <c r="D493" s="626" t="s">
        <v>3950</v>
      </c>
    </row>
    <row r="494" spans="1:11" ht="1.9" customHeight="1"/>
    <row r="495" spans="1:11" ht="12.75" customHeight="1">
      <c r="C495" s="605" t="s">
        <v>2878</v>
      </c>
      <c r="D495" s="627" t="s">
        <v>1839</v>
      </c>
      <c r="E495" s="628"/>
      <c r="F495" s="4729" t="s">
        <v>2879</v>
      </c>
      <c r="G495" s="4729"/>
      <c r="H495" s="4729"/>
      <c r="K495" s="431" t="s">
        <v>233</v>
      </c>
    </row>
    <row r="496" spans="1:11" ht="12.75" customHeight="1">
      <c r="C496" s="629" t="s">
        <v>1273</v>
      </c>
      <c r="D496" s="627" t="s">
        <v>1841</v>
      </c>
      <c r="E496" s="4729" t="s">
        <v>2919</v>
      </c>
      <c r="F496" s="4729"/>
      <c r="G496" s="4729"/>
      <c r="H496" s="4729"/>
    </row>
    <row r="497" spans="1:8" ht="12.75" customHeight="1">
      <c r="E497" s="4729" t="s">
        <v>3036</v>
      </c>
      <c r="F497" s="4729"/>
      <c r="G497" s="4729"/>
      <c r="H497" s="4729"/>
    </row>
    <row r="498" spans="1:8" ht="12.75" customHeight="1">
      <c r="D498" s="630" t="s">
        <v>2917</v>
      </c>
      <c r="E498" s="4729" t="s">
        <v>3037</v>
      </c>
      <c r="F498" s="4729"/>
      <c r="G498" s="4729"/>
      <c r="H498" s="4729"/>
    </row>
    <row r="499" spans="1:8" ht="9" customHeight="1" thickBot="1"/>
    <row r="500" spans="1:8" ht="16.149999999999999" customHeight="1" thickBot="1">
      <c r="A500" s="4730">
        <v>80</v>
      </c>
      <c r="B500" s="4731"/>
      <c r="C500" s="1387" t="s">
        <v>974</v>
      </c>
    </row>
    <row r="501" spans="1:8" ht="9" customHeight="1">
      <c r="A501" s="600"/>
    </row>
    <row r="502" spans="1:8" ht="28.15" customHeight="1">
      <c r="A502" s="4729" t="s">
        <v>3958</v>
      </c>
      <c r="B502" s="4729"/>
      <c r="C502" s="4729"/>
      <c r="D502" s="4729"/>
      <c r="E502" s="4729"/>
      <c r="F502" s="4729"/>
      <c r="G502" s="4729"/>
      <c r="H502" s="4729"/>
    </row>
    <row r="503" spans="1:8" ht="9" customHeight="1">
      <c r="A503" s="600"/>
    </row>
    <row r="504" spans="1:8">
      <c r="A504" s="608" t="s">
        <v>2913</v>
      </c>
      <c r="B504" s="625" t="str">
        <f>IF('Part V-Revenues &amp; Expenses'!$K$56=0,"",'Part V-Revenues &amp; Expenses'!$K$56)</f>
        <v/>
      </c>
      <c r="C504" s="608" t="s">
        <v>3946</v>
      </c>
      <c r="D504" s="626" t="s">
        <v>3947</v>
      </c>
    </row>
    <row r="505" spans="1:8" ht="1.9" customHeight="1"/>
    <row r="506" spans="1:8" ht="12.75" customHeight="1">
      <c r="C506" s="605" t="s">
        <v>2878</v>
      </c>
      <c r="D506" s="627" t="s">
        <v>1839</v>
      </c>
      <c r="E506" s="628"/>
      <c r="F506" s="4729" t="s">
        <v>2879</v>
      </c>
      <c r="G506" s="4729"/>
      <c r="H506" s="4729"/>
    </row>
    <row r="507" spans="1:8" ht="12.75" customHeight="1">
      <c r="C507" s="629" t="s">
        <v>1273</v>
      </c>
      <c r="D507" s="627" t="s">
        <v>1841</v>
      </c>
      <c r="E507" s="4729" t="s">
        <v>2918</v>
      </c>
      <c r="F507" s="4729"/>
      <c r="G507" s="4729"/>
      <c r="H507" s="4729"/>
    </row>
    <row r="508" spans="1:8" ht="12.75" customHeight="1">
      <c r="C508" s="1385" t="s">
        <v>3951</v>
      </c>
      <c r="E508" s="4729" t="s">
        <v>3036</v>
      </c>
      <c r="F508" s="4729"/>
      <c r="G508" s="4729"/>
      <c r="H508" s="4729"/>
    </row>
    <row r="509" spans="1:8" ht="12.75" customHeight="1">
      <c r="C509" s="1386"/>
      <c r="D509" s="1384" t="s">
        <v>2917</v>
      </c>
      <c r="E509" s="4732" t="s">
        <v>3037</v>
      </c>
      <c r="F509" s="4732"/>
      <c r="G509" s="4732"/>
      <c r="H509" s="4732"/>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9" t="s">
        <v>2918</v>
      </c>
      <c r="F512" s="4729"/>
      <c r="G512" s="4729"/>
      <c r="H512" s="4729"/>
    </row>
    <row r="513" spans="1:8" ht="12.75" customHeight="1">
      <c r="C513" s="1385" t="s">
        <v>3951</v>
      </c>
      <c r="E513" s="4729" t="s">
        <v>3036</v>
      </c>
      <c r="F513" s="4729"/>
      <c r="G513" s="4729"/>
      <c r="H513" s="4729"/>
    </row>
    <row r="514" spans="1:8" ht="12.75" customHeight="1">
      <c r="C514" s="1386"/>
      <c r="D514" s="1384" t="s">
        <v>2917</v>
      </c>
      <c r="E514" s="4732" t="s">
        <v>3037</v>
      </c>
      <c r="F514" s="4732"/>
      <c r="G514" s="4732"/>
      <c r="H514" s="4732"/>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9" t="s">
        <v>2918</v>
      </c>
      <c r="F517" s="4729"/>
      <c r="G517" s="4729"/>
      <c r="H517" s="4729"/>
    </row>
    <row r="518" spans="1:8" ht="12.75" customHeight="1">
      <c r="C518" s="1385" t="s">
        <v>3951</v>
      </c>
      <c r="E518" s="4729" t="s">
        <v>3036</v>
      </c>
      <c r="F518" s="4729"/>
      <c r="G518" s="4729"/>
      <c r="H518" s="4729"/>
    </row>
    <row r="519" spans="1:8" ht="12.75" customHeight="1">
      <c r="C519" s="1386"/>
      <c r="D519" s="1384" t="s">
        <v>2917</v>
      </c>
      <c r="E519" s="4732" t="s">
        <v>3037</v>
      </c>
      <c r="F519" s="4732"/>
      <c r="G519" s="4732"/>
      <c r="H519" s="4732"/>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9" t="s">
        <v>2918</v>
      </c>
      <c r="F524" s="4729"/>
      <c r="G524" s="4729"/>
      <c r="H524" s="4729"/>
    </row>
    <row r="525" spans="1:8" ht="12.75" customHeight="1">
      <c r="C525" s="1385" t="s">
        <v>3951</v>
      </c>
      <c r="E525" s="4729" t="s">
        <v>3036</v>
      </c>
      <c r="F525" s="4729"/>
      <c r="G525" s="4729"/>
      <c r="H525" s="4729"/>
    </row>
    <row r="526" spans="1:8" ht="12.75" customHeight="1">
      <c r="C526" s="1386"/>
      <c r="D526" s="630" t="s">
        <v>2917</v>
      </c>
      <c r="E526" s="4729" t="s">
        <v>3037</v>
      </c>
      <c r="F526" s="4729"/>
      <c r="G526" s="4729"/>
      <c r="H526" s="4729"/>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9" t="s">
        <v>2918</v>
      </c>
      <c r="F529" s="4729"/>
      <c r="G529" s="4729"/>
      <c r="H529" s="4729"/>
    </row>
    <row r="530" spans="1:8" ht="12.75" customHeight="1">
      <c r="C530" s="1385" t="s">
        <v>3951</v>
      </c>
      <c r="E530" s="4729" t="s">
        <v>3036</v>
      </c>
      <c r="F530" s="4729"/>
      <c r="G530" s="4729"/>
      <c r="H530" s="4729"/>
    </row>
    <row r="531" spans="1:8" ht="12.75" customHeight="1">
      <c r="C531" s="1386"/>
      <c r="D531" s="1384" t="s">
        <v>2917</v>
      </c>
      <c r="E531" s="4732" t="s">
        <v>3037</v>
      </c>
      <c r="F531" s="4732"/>
      <c r="G531" s="4732"/>
      <c r="H531" s="4732"/>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9" t="s">
        <v>2918</v>
      </c>
      <c r="F534" s="4729"/>
      <c r="G534" s="4729"/>
      <c r="H534" s="4729"/>
    </row>
    <row r="535" spans="1:8" ht="12.75" customHeight="1">
      <c r="C535" s="1385" t="s">
        <v>3951</v>
      </c>
      <c r="E535" s="4729" t="s">
        <v>3036</v>
      </c>
      <c r="F535" s="4729"/>
      <c r="G535" s="4729"/>
      <c r="H535" s="4729"/>
    </row>
    <row r="536" spans="1:8" ht="12.75" customHeight="1">
      <c r="C536" s="1386"/>
      <c r="D536" s="1384" t="s">
        <v>2917</v>
      </c>
      <c r="E536" s="4732" t="s">
        <v>3037</v>
      </c>
      <c r="F536" s="4732"/>
      <c r="G536" s="4732"/>
      <c r="H536" s="4732"/>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9" t="s">
        <v>2918</v>
      </c>
      <c r="F541" s="4729"/>
      <c r="G541" s="4729"/>
      <c r="H541" s="4729"/>
    </row>
    <row r="542" spans="1:8" ht="12.75" customHeight="1">
      <c r="C542" s="1385" t="s">
        <v>3951</v>
      </c>
      <c r="E542" s="4729" t="s">
        <v>3036</v>
      </c>
      <c r="F542" s="4729"/>
      <c r="G542" s="4729"/>
      <c r="H542" s="4729"/>
    </row>
    <row r="543" spans="1:8" ht="12.75" customHeight="1">
      <c r="C543" s="1386"/>
      <c r="D543" s="630" t="s">
        <v>2917</v>
      </c>
      <c r="E543" s="4729" t="s">
        <v>3037</v>
      </c>
      <c r="F543" s="4729"/>
      <c r="G543" s="4729"/>
      <c r="H543" s="4729"/>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9" t="s">
        <v>2918</v>
      </c>
      <c r="F546" s="4729"/>
      <c r="G546" s="4729"/>
      <c r="H546" s="4729"/>
    </row>
    <row r="547" spans="1:8" ht="12.75" customHeight="1">
      <c r="C547" s="1385" t="s">
        <v>3951</v>
      </c>
      <c r="E547" s="4729" t="s">
        <v>3036</v>
      </c>
      <c r="F547" s="4729"/>
      <c r="G547" s="4729"/>
      <c r="H547" s="4729"/>
    </row>
    <row r="548" spans="1:8" ht="12.75" customHeight="1">
      <c r="C548" s="1386"/>
      <c r="D548" s="1384" t="s">
        <v>2917</v>
      </c>
      <c r="E548" s="4732" t="s">
        <v>3037</v>
      </c>
      <c r="F548" s="4732"/>
      <c r="G548" s="4732"/>
      <c r="H548" s="4732"/>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9" t="s">
        <v>2918</v>
      </c>
      <c r="F551" s="4729"/>
      <c r="G551" s="4729"/>
      <c r="H551" s="4729"/>
    </row>
    <row r="552" spans="1:8" ht="12.75" customHeight="1">
      <c r="C552" s="1385" t="s">
        <v>3951</v>
      </c>
      <c r="E552" s="4729" t="s">
        <v>3036</v>
      </c>
      <c r="F552" s="4729"/>
      <c r="G552" s="4729"/>
      <c r="H552" s="4729"/>
    </row>
    <row r="553" spans="1:8" ht="12.75" customHeight="1">
      <c r="C553" s="1386"/>
      <c r="D553" s="1384" t="s">
        <v>2917</v>
      </c>
      <c r="E553" s="4732" t="s">
        <v>3037</v>
      </c>
      <c r="F553" s="4732"/>
      <c r="G553" s="4732"/>
      <c r="H553" s="4732"/>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9" t="s">
        <v>2918</v>
      </c>
      <c r="F558" s="4729"/>
      <c r="G558" s="4729"/>
      <c r="H558" s="4729"/>
    </row>
    <row r="559" spans="1:8" ht="12.75" customHeight="1">
      <c r="C559" s="1385" t="s">
        <v>3951</v>
      </c>
      <c r="E559" s="4729" t="s">
        <v>3036</v>
      </c>
      <c r="F559" s="4729"/>
      <c r="G559" s="4729"/>
      <c r="H559" s="4729"/>
    </row>
    <row r="560" spans="1:8" ht="12.75" customHeight="1">
      <c r="C560" s="1386"/>
      <c r="D560" s="630" t="s">
        <v>2917</v>
      </c>
      <c r="E560" s="4729" t="s">
        <v>3037</v>
      </c>
      <c r="F560" s="4729"/>
      <c r="G560" s="4729"/>
      <c r="H560" s="4729"/>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9" t="s">
        <v>2918</v>
      </c>
      <c r="F563" s="4729"/>
      <c r="G563" s="4729"/>
      <c r="H563" s="4729"/>
    </row>
    <row r="564" spans="1:11" ht="12.75" customHeight="1">
      <c r="C564" s="1385" t="s">
        <v>3951</v>
      </c>
      <c r="E564" s="4729" t="s">
        <v>3036</v>
      </c>
      <c r="F564" s="4729"/>
      <c r="G564" s="4729"/>
      <c r="H564" s="4729"/>
    </row>
    <row r="565" spans="1:11" ht="12.75" customHeight="1">
      <c r="C565" s="1386"/>
      <c r="D565" s="1384" t="s">
        <v>2917</v>
      </c>
      <c r="E565" s="4732" t="s">
        <v>3037</v>
      </c>
      <c r="F565" s="4732"/>
      <c r="G565" s="4732"/>
      <c r="H565" s="4732"/>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9" t="s">
        <v>2918</v>
      </c>
      <c r="F568" s="4729"/>
      <c r="G568" s="4729"/>
      <c r="H568" s="4729"/>
    </row>
    <row r="569" spans="1:11" ht="12.75" customHeight="1">
      <c r="C569" s="1385" t="s">
        <v>3951</v>
      </c>
      <c r="E569" s="4729" t="s">
        <v>3036</v>
      </c>
      <c r="F569" s="4729"/>
      <c r="G569" s="4729"/>
      <c r="H569" s="4729"/>
    </row>
    <row r="570" spans="1:11" ht="12.75" customHeight="1">
      <c r="C570" s="1386"/>
      <c r="D570" s="1384" t="s">
        <v>2917</v>
      </c>
      <c r="E570" s="4732" t="s">
        <v>3037</v>
      </c>
      <c r="F570" s="4732"/>
      <c r="G570" s="4732"/>
      <c r="H570" s="4732"/>
    </row>
    <row r="571" spans="1:11" ht="6" customHeight="1">
      <c r="D571" s="627"/>
      <c r="E571" s="1004"/>
      <c r="F571" s="1004"/>
      <c r="G571" s="1004"/>
      <c r="H571" s="1004"/>
    </row>
    <row r="572" spans="1:11">
      <c r="A572" s="608" t="s">
        <v>2913</v>
      </c>
      <c r="B572" s="625" t="str">
        <f>IF('Part V-Revenues &amp; Expenses'!$O$56=0,"",'Part V-Revenues &amp; Expenses'!$O$56)</f>
        <v/>
      </c>
      <c r="C572" s="608" t="s">
        <v>3949</v>
      </c>
      <c r="D572" s="626" t="s">
        <v>3950</v>
      </c>
    </row>
    <row r="573" spans="1:11" ht="1.9" customHeight="1"/>
    <row r="574" spans="1:11" ht="12.75" customHeight="1">
      <c r="C574" s="605" t="s">
        <v>2878</v>
      </c>
      <c r="D574" s="627" t="s">
        <v>1839</v>
      </c>
      <c r="E574" s="628"/>
      <c r="F574" s="4729" t="s">
        <v>2879</v>
      </c>
      <c r="G574" s="4729"/>
      <c r="H574" s="4729"/>
      <c r="K574" s="431" t="s">
        <v>233</v>
      </c>
    </row>
    <row r="575" spans="1:11" ht="12.75" customHeight="1">
      <c r="C575" s="629" t="s">
        <v>1273</v>
      </c>
      <c r="D575" s="627" t="s">
        <v>1841</v>
      </c>
      <c r="E575" s="4729" t="s">
        <v>2919</v>
      </c>
      <c r="F575" s="4729"/>
      <c r="G575" s="4729"/>
      <c r="H575" s="4729"/>
    </row>
    <row r="576" spans="1:11" ht="12.75" customHeight="1">
      <c r="E576" s="4729" t="s">
        <v>3036</v>
      </c>
      <c r="F576" s="4729"/>
      <c r="G576" s="4729"/>
      <c r="H576" s="4729"/>
    </row>
    <row r="577" spans="4:8" ht="12.75" customHeight="1">
      <c r="D577" s="630" t="s">
        <v>2917</v>
      </c>
      <c r="E577" s="4729" t="s">
        <v>3037</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4212</v>
      </c>
      <c r="E1" s="1651" t="s">
        <v>4202</v>
      </c>
      <c r="F1" s="1651" t="s">
        <v>4213</v>
      </c>
      <c r="H1" s="1651" t="s">
        <v>4214</v>
      </c>
      <c r="J1" s="1651" t="s">
        <v>4215</v>
      </c>
      <c r="K1" s="1651" t="s">
        <v>4216</v>
      </c>
      <c r="L1" s="1651" t="s">
        <v>4217</v>
      </c>
      <c r="M1" s="1651" t="s">
        <v>4218</v>
      </c>
      <c r="O1" s="1651" t="s">
        <v>4219</v>
      </c>
      <c r="Q1" s="1651" t="s">
        <v>4220</v>
      </c>
      <c r="Z1" s="1618">
        <v>1</v>
      </c>
    </row>
    <row r="2" spans="1:26" s="144" customFormat="1" ht="14.1" customHeight="1">
      <c r="A2" s="3001" t="e">
        <f>CONCATENATE("PART TWO - DEVELOPMENT TEAM INFORMATION","  -  ",#REF!," ",#REF!,", ",#REF!,", ",#REF!," County")</f>
        <v>#REF!</v>
      </c>
      <c r="B2" s="3002"/>
      <c r="C2" s="3002"/>
      <c r="D2" s="3002"/>
      <c r="E2" s="3002"/>
      <c r="F2" s="3002"/>
      <c r="G2" s="3002"/>
      <c r="H2" s="3002"/>
      <c r="I2" s="3002"/>
      <c r="J2" s="3002"/>
      <c r="K2" s="3002"/>
      <c r="L2" s="3002"/>
      <c r="M2" s="3002"/>
      <c r="N2" s="3002"/>
      <c r="O2" s="3002"/>
      <c r="P2" s="3002"/>
      <c r="Q2" s="3002"/>
      <c r="R2" s="3002"/>
      <c r="S2" s="3003"/>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05" t="e">
        <f>#REF!</f>
        <v>#REF!</v>
      </c>
      <c r="P4" s="3006"/>
      <c r="Q4" s="3006"/>
      <c r="R4" s="3006"/>
      <c r="S4" s="3007"/>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5" t="s">
        <v>87</v>
      </c>
      <c r="I6" s="2989"/>
      <c r="J6" s="2989"/>
      <c r="K6" s="2989"/>
      <c r="L6" s="2989"/>
      <c r="M6" s="2989"/>
      <c r="N6" s="2990"/>
      <c r="O6" s="259" t="s">
        <v>1842</v>
      </c>
      <c r="P6" s="259"/>
      <c r="Q6" s="2945"/>
      <c r="R6" s="2989"/>
      <c r="S6" s="2990"/>
      <c r="Y6" s="826"/>
      <c r="Z6" s="1618">
        <v>6</v>
      </c>
    </row>
    <row r="7" spans="1:26" s="144" customFormat="1" ht="11.25" customHeight="1">
      <c r="D7" s="260"/>
      <c r="E7" s="246" t="s">
        <v>956</v>
      </c>
      <c r="F7" s="247"/>
      <c r="H7" s="2918"/>
      <c r="I7" s="2992"/>
      <c r="J7" s="2992"/>
      <c r="K7" s="2993"/>
      <c r="L7" s="2992"/>
      <c r="M7" s="2992"/>
      <c r="N7" s="2994"/>
      <c r="O7" s="259" t="s">
        <v>1621</v>
      </c>
      <c r="P7" s="261"/>
      <c r="Q7" s="2995"/>
      <c r="R7" s="2996"/>
      <c r="S7" s="2997"/>
      <c r="V7" s="826"/>
      <c r="W7" s="826"/>
      <c r="X7" s="826"/>
      <c r="Y7" s="826"/>
      <c r="Z7" s="1618">
        <v>7</v>
      </c>
    </row>
    <row r="8" spans="1:26" s="144" customFormat="1" ht="11.25" customHeight="1">
      <c r="D8" s="260"/>
      <c r="E8" s="246" t="s">
        <v>574</v>
      </c>
      <c r="H8" s="2918"/>
      <c r="I8" s="2993"/>
      <c r="J8" s="2998"/>
      <c r="K8" s="334" t="s">
        <v>709</v>
      </c>
      <c r="L8" s="3004"/>
      <c r="M8" s="2992"/>
      <c r="N8" s="2994"/>
      <c r="O8" s="259" t="s">
        <v>1598</v>
      </c>
      <c r="P8" s="261"/>
      <c r="Q8" s="2910"/>
      <c r="R8" s="2911"/>
      <c r="S8" s="2912"/>
      <c r="Z8" s="1618">
        <v>8</v>
      </c>
    </row>
    <row r="9" spans="1:26" s="144" customFormat="1" ht="11.25" customHeight="1">
      <c r="D9" s="260"/>
      <c r="E9" s="246" t="s">
        <v>1666</v>
      </c>
      <c r="H9" s="981"/>
      <c r="I9" s="664" t="s">
        <v>2056</v>
      </c>
      <c r="J9" s="2981"/>
      <c r="K9" s="2982"/>
      <c r="L9" s="261" t="s">
        <v>3109</v>
      </c>
      <c r="M9" s="2983"/>
      <c r="N9" s="2984"/>
      <c r="O9" s="259" t="s">
        <v>1833</v>
      </c>
      <c r="P9" s="261"/>
      <c r="Q9" s="2910"/>
      <c r="R9" s="2911"/>
      <c r="S9" s="2912"/>
      <c r="Z9" s="1618">
        <v>9</v>
      </c>
    </row>
    <row r="10" spans="1:26" s="144" customFormat="1" ht="11.25" customHeight="1">
      <c r="D10" s="260"/>
      <c r="E10" s="246" t="s">
        <v>3371</v>
      </c>
      <c r="H10" s="2985"/>
      <c r="I10" s="2986"/>
      <c r="J10" s="699"/>
      <c r="K10" s="262" t="s">
        <v>1837</v>
      </c>
      <c r="L10" s="2987"/>
      <c r="M10" s="2940"/>
      <c r="N10" s="2940"/>
      <c r="O10" s="2916"/>
      <c r="P10" s="2916"/>
      <c r="Q10" s="2940"/>
      <c r="R10" s="2940"/>
      <c r="S10" s="2988"/>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5"/>
      <c r="I15" s="2989"/>
      <c r="J15" s="2989"/>
      <c r="K15" s="2989"/>
      <c r="L15" s="2989"/>
      <c r="M15" s="2989"/>
      <c r="N15" s="2990"/>
      <c r="O15" s="259" t="s">
        <v>1842</v>
      </c>
      <c r="P15" s="259"/>
      <c r="Q15" s="2945"/>
      <c r="R15" s="2989"/>
      <c r="S15" s="2990"/>
      <c r="Z15" s="1618">
        <v>15</v>
      </c>
    </row>
    <row r="16" spans="1:26" s="144" customFormat="1" ht="11.25" customHeight="1">
      <c r="D16" s="260"/>
      <c r="E16" s="246" t="s">
        <v>956</v>
      </c>
      <c r="F16" s="247"/>
      <c r="H16" s="2918"/>
      <c r="I16" s="2992"/>
      <c r="J16" s="2992"/>
      <c r="K16" s="2993"/>
      <c r="L16" s="2992"/>
      <c r="M16" s="2992"/>
      <c r="N16" s="2994"/>
      <c r="O16" s="259" t="s">
        <v>1621</v>
      </c>
      <c r="P16" s="261"/>
      <c r="Q16" s="2995"/>
      <c r="R16" s="2996"/>
      <c r="S16" s="2997"/>
      <c r="Z16" s="1618">
        <v>16</v>
      </c>
    </row>
    <row r="17" spans="4:26" s="144" customFormat="1" ht="11.25" customHeight="1">
      <c r="D17" s="260"/>
      <c r="E17" s="246" t="s">
        <v>574</v>
      </c>
      <c r="H17" s="2918"/>
      <c r="I17" s="2993"/>
      <c r="J17" s="2998"/>
      <c r="K17" s="262" t="s">
        <v>2451</v>
      </c>
      <c r="L17" s="2918"/>
      <c r="M17" s="2992"/>
      <c r="N17" s="2998"/>
      <c r="O17" s="259" t="s">
        <v>1598</v>
      </c>
      <c r="P17" s="261"/>
      <c r="Q17" s="2910"/>
      <c r="R17" s="2911"/>
      <c r="S17" s="2912"/>
      <c r="Z17" s="1618">
        <v>17</v>
      </c>
    </row>
    <row r="18" spans="4:26" s="144" customFormat="1" ht="11.25" customHeight="1">
      <c r="D18" s="243"/>
      <c r="E18" s="246" t="s">
        <v>1666</v>
      </c>
      <c r="H18" s="981"/>
      <c r="I18" s="261"/>
      <c r="J18" s="261"/>
      <c r="K18" s="664" t="s">
        <v>2056</v>
      </c>
      <c r="L18" s="2999"/>
      <c r="M18" s="3000"/>
      <c r="N18" s="261"/>
      <c r="O18" s="259" t="s">
        <v>1833</v>
      </c>
      <c r="P18" s="261"/>
      <c r="Q18" s="2910"/>
      <c r="R18" s="2911"/>
      <c r="S18" s="2912"/>
      <c r="Z18" s="1618">
        <v>18</v>
      </c>
    </row>
    <row r="19" spans="4:26" s="144" customFormat="1" ht="11.25" customHeight="1">
      <c r="D19" s="260"/>
      <c r="E19" s="246" t="s">
        <v>3371</v>
      </c>
      <c r="H19" s="2985"/>
      <c r="I19" s="2991"/>
      <c r="J19" s="255"/>
      <c r="K19" s="262" t="s">
        <v>1837</v>
      </c>
      <c r="L19" s="2939"/>
      <c r="M19" s="2940"/>
      <c r="N19" s="2916"/>
      <c r="O19" s="2916"/>
      <c r="P19" s="2916"/>
      <c r="Q19" s="2940"/>
      <c r="R19" s="2940"/>
      <c r="S19" s="2988"/>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5"/>
      <c r="I21" s="2989"/>
      <c r="J21" s="2989"/>
      <c r="K21" s="2989"/>
      <c r="L21" s="2989"/>
      <c r="M21" s="2989"/>
      <c r="N21" s="2990"/>
      <c r="O21" s="259" t="s">
        <v>1842</v>
      </c>
      <c r="P21" s="259"/>
      <c r="Q21" s="2945"/>
      <c r="R21" s="2989"/>
      <c r="S21" s="2990"/>
      <c r="Z21" s="1618">
        <v>21</v>
      </c>
    </row>
    <row r="22" spans="4:26" s="144" customFormat="1" ht="11.25" customHeight="1">
      <c r="D22" s="260"/>
      <c r="E22" s="246" t="s">
        <v>956</v>
      </c>
      <c r="F22" s="247"/>
      <c r="H22" s="2918"/>
      <c r="I22" s="2992"/>
      <c r="J22" s="2992"/>
      <c r="K22" s="2993"/>
      <c r="L22" s="2992"/>
      <c r="M22" s="2992"/>
      <c r="N22" s="2994"/>
      <c r="O22" s="259" t="s">
        <v>1621</v>
      </c>
      <c r="P22" s="261"/>
      <c r="Q22" s="2995"/>
      <c r="R22" s="2996"/>
      <c r="S22" s="2997"/>
      <c r="Z22" s="1618">
        <v>22</v>
      </c>
    </row>
    <row r="23" spans="4:26" s="144" customFormat="1" ht="11.25" customHeight="1">
      <c r="D23" s="260"/>
      <c r="E23" s="246" t="s">
        <v>574</v>
      </c>
      <c r="H23" s="2918"/>
      <c r="I23" s="2993"/>
      <c r="J23" s="2998"/>
      <c r="K23" s="262" t="s">
        <v>2451</v>
      </c>
      <c r="L23" s="2918"/>
      <c r="M23" s="2992"/>
      <c r="N23" s="2998"/>
      <c r="O23" s="259" t="s">
        <v>1598</v>
      </c>
      <c r="P23" s="261"/>
      <c r="Q23" s="2910"/>
      <c r="R23" s="2911"/>
      <c r="S23" s="2912"/>
      <c r="Z23" s="1618">
        <v>23</v>
      </c>
    </row>
    <row r="24" spans="4:26" s="144" customFormat="1" ht="11.25" customHeight="1">
      <c r="E24" s="246" t="s">
        <v>1666</v>
      </c>
      <c r="H24" s="981"/>
      <c r="I24" s="261"/>
      <c r="J24" s="261"/>
      <c r="K24" s="664" t="s">
        <v>2056</v>
      </c>
      <c r="L24" s="2999"/>
      <c r="M24" s="3000"/>
      <c r="N24" s="261"/>
      <c r="O24" s="259" t="s">
        <v>1833</v>
      </c>
      <c r="P24" s="261"/>
      <c r="Q24" s="2910"/>
      <c r="R24" s="2911"/>
      <c r="S24" s="2912"/>
      <c r="Z24" s="1618">
        <v>24</v>
      </c>
    </row>
    <row r="25" spans="4:26" s="144" customFormat="1" ht="11.25" customHeight="1">
      <c r="D25" s="260"/>
      <c r="E25" s="246" t="s">
        <v>3371</v>
      </c>
      <c r="H25" s="2985"/>
      <c r="I25" s="2991"/>
      <c r="J25" s="255"/>
      <c r="K25" s="262" t="s">
        <v>1837</v>
      </c>
      <c r="L25" s="2939"/>
      <c r="M25" s="2940"/>
      <c r="N25" s="2916"/>
      <c r="O25" s="2916"/>
      <c r="P25" s="2916"/>
      <c r="Q25" s="2940"/>
      <c r="R25" s="2940"/>
      <c r="S25" s="2988"/>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5"/>
      <c r="I27" s="2989"/>
      <c r="J27" s="2989"/>
      <c r="K27" s="2989"/>
      <c r="L27" s="2989"/>
      <c r="M27" s="2989"/>
      <c r="N27" s="2990"/>
      <c r="O27" s="259" t="s">
        <v>1842</v>
      </c>
      <c r="P27" s="259"/>
      <c r="Q27" s="2945"/>
      <c r="R27" s="2989"/>
      <c r="S27" s="2990"/>
      <c r="Z27" s="1618">
        <v>27</v>
      </c>
    </row>
    <row r="28" spans="4:26" s="144" customFormat="1" ht="11.25" customHeight="1">
      <c r="D28" s="260"/>
      <c r="E28" s="246" t="s">
        <v>956</v>
      </c>
      <c r="F28" s="247"/>
      <c r="H28" s="2918"/>
      <c r="I28" s="2992"/>
      <c r="J28" s="2992"/>
      <c r="K28" s="2993"/>
      <c r="L28" s="2992"/>
      <c r="M28" s="2992"/>
      <c r="N28" s="2994"/>
      <c r="O28" s="259" t="s">
        <v>1621</v>
      </c>
      <c r="P28" s="261"/>
      <c r="Q28" s="2995"/>
      <c r="R28" s="2996"/>
      <c r="S28" s="2997"/>
      <c r="Z28" s="1618">
        <v>28</v>
      </c>
    </row>
    <row r="29" spans="4:26" s="144" customFormat="1" ht="11.25" customHeight="1">
      <c r="D29" s="260"/>
      <c r="E29" s="246" t="s">
        <v>574</v>
      </c>
      <c r="H29" s="2918"/>
      <c r="I29" s="2993"/>
      <c r="J29" s="2998"/>
      <c r="K29" s="262" t="s">
        <v>2451</v>
      </c>
      <c r="L29" s="2918"/>
      <c r="M29" s="2992"/>
      <c r="N29" s="2998"/>
      <c r="O29" s="259" t="s">
        <v>1598</v>
      </c>
      <c r="P29" s="261"/>
      <c r="Q29" s="2910"/>
      <c r="R29" s="2911"/>
      <c r="S29" s="2912"/>
      <c r="Z29" s="1618">
        <v>29</v>
      </c>
    </row>
    <row r="30" spans="4:26" s="144" customFormat="1" ht="11.25" customHeight="1">
      <c r="E30" s="246" t="s">
        <v>1666</v>
      </c>
      <c r="H30" s="981"/>
      <c r="I30" s="261"/>
      <c r="J30" s="261"/>
      <c r="K30" s="664" t="s">
        <v>2056</v>
      </c>
      <c r="L30" s="2999"/>
      <c r="M30" s="3000"/>
      <c r="N30" s="261"/>
      <c r="O30" s="259" t="s">
        <v>1833</v>
      </c>
      <c r="P30" s="261"/>
      <c r="Q30" s="2910"/>
      <c r="R30" s="2911"/>
      <c r="S30" s="2912"/>
      <c r="Z30" s="1618">
        <v>30</v>
      </c>
    </row>
    <row r="31" spans="4:26" s="144" customFormat="1" ht="11.25" customHeight="1">
      <c r="D31" s="260"/>
      <c r="E31" s="246" t="s">
        <v>3371</v>
      </c>
      <c r="H31" s="2985"/>
      <c r="I31" s="2991"/>
      <c r="J31" s="255"/>
      <c r="K31" s="262" t="s">
        <v>1837</v>
      </c>
      <c r="L31" s="2939"/>
      <c r="M31" s="2940"/>
      <c r="N31" s="2916"/>
      <c r="O31" s="2916"/>
      <c r="P31" s="2916"/>
      <c r="Q31" s="2940"/>
      <c r="R31" s="2940"/>
      <c r="S31" s="2988"/>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45"/>
      <c r="I34" s="2989"/>
      <c r="J34" s="2989"/>
      <c r="K34" s="2989"/>
      <c r="L34" s="2989"/>
      <c r="M34" s="2989"/>
      <c r="N34" s="2990"/>
      <c r="O34" s="259" t="s">
        <v>1842</v>
      </c>
      <c r="P34" s="259"/>
      <c r="Q34" s="2945"/>
      <c r="R34" s="2989"/>
      <c r="S34" s="2990"/>
      <c r="Z34" s="1618">
        <v>34</v>
      </c>
    </row>
    <row r="35" spans="3:26" s="144" customFormat="1" ht="11.25" customHeight="1">
      <c r="D35" s="260"/>
      <c r="E35" s="246" t="s">
        <v>956</v>
      </c>
      <c r="F35" s="247"/>
      <c r="H35" s="2918"/>
      <c r="I35" s="2992"/>
      <c r="J35" s="2992"/>
      <c r="K35" s="2993"/>
      <c r="L35" s="2992"/>
      <c r="M35" s="2992"/>
      <c r="N35" s="2994"/>
      <c r="O35" s="259" t="s">
        <v>1621</v>
      </c>
      <c r="P35" s="261"/>
      <c r="Q35" s="2995"/>
      <c r="R35" s="2996"/>
      <c r="S35" s="2997"/>
      <c r="Z35" s="1618">
        <v>35</v>
      </c>
    </row>
    <row r="36" spans="3:26" s="144" customFormat="1" ht="11.25" customHeight="1">
      <c r="D36" s="260"/>
      <c r="E36" s="246" t="s">
        <v>574</v>
      </c>
      <c r="H36" s="2918"/>
      <c r="I36" s="2993"/>
      <c r="J36" s="2998"/>
      <c r="K36" s="262" t="s">
        <v>2451</v>
      </c>
      <c r="L36" s="2918"/>
      <c r="M36" s="2992"/>
      <c r="N36" s="2998"/>
      <c r="O36" s="259" t="s">
        <v>1598</v>
      </c>
      <c r="P36" s="261"/>
      <c r="Q36" s="2910"/>
      <c r="R36" s="2911"/>
      <c r="S36" s="2912"/>
      <c r="Z36" s="1618">
        <v>36</v>
      </c>
    </row>
    <row r="37" spans="3:26" s="144" customFormat="1" ht="11.25" customHeight="1">
      <c r="E37" s="246" t="s">
        <v>1666</v>
      </c>
      <c r="H37" s="981"/>
      <c r="I37" s="261"/>
      <c r="J37" s="261"/>
      <c r="K37" s="664" t="s">
        <v>2056</v>
      </c>
      <c r="L37" s="2999"/>
      <c r="M37" s="3000"/>
      <c r="N37" s="261"/>
      <c r="O37" s="259" t="s">
        <v>1833</v>
      </c>
      <c r="P37" s="261"/>
      <c r="Q37" s="2910"/>
      <c r="R37" s="2911"/>
      <c r="S37" s="2912"/>
      <c r="Z37" s="1618">
        <v>37</v>
      </c>
    </row>
    <row r="38" spans="3:26" s="144" customFormat="1" ht="11.25" customHeight="1">
      <c r="D38" s="260"/>
      <c r="E38" s="246" t="s">
        <v>3371</v>
      </c>
      <c r="H38" s="2985"/>
      <c r="I38" s="2991"/>
      <c r="J38" s="255"/>
      <c r="K38" s="262" t="s">
        <v>1837</v>
      </c>
      <c r="L38" s="2939"/>
      <c r="M38" s="2940"/>
      <c r="N38" s="2916"/>
      <c r="O38" s="2916"/>
      <c r="P38" s="2916"/>
      <c r="Q38" s="2940"/>
      <c r="R38" s="2940"/>
      <c r="S38" s="2988"/>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5"/>
      <c r="I40" s="2989"/>
      <c r="J40" s="2989"/>
      <c r="K40" s="2989"/>
      <c r="L40" s="2989"/>
      <c r="M40" s="2989"/>
      <c r="N40" s="2990"/>
      <c r="O40" s="259" t="s">
        <v>1842</v>
      </c>
      <c r="P40" s="259"/>
      <c r="Q40" s="2945"/>
      <c r="R40" s="2989"/>
      <c r="S40" s="2990"/>
      <c r="Z40" s="1618">
        <v>40</v>
      </c>
    </row>
    <row r="41" spans="3:26" s="144" customFormat="1" ht="11.25" customHeight="1">
      <c r="D41" s="260"/>
      <c r="E41" s="246" t="s">
        <v>956</v>
      </c>
      <c r="F41" s="247"/>
      <c r="H41" s="2918"/>
      <c r="I41" s="2992"/>
      <c r="J41" s="2992"/>
      <c r="K41" s="2993"/>
      <c r="L41" s="2992"/>
      <c r="M41" s="2992"/>
      <c r="N41" s="2994"/>
      <c r="O41" s="259" t="s">
        <v>1621</v>
      </c>
      <c r="P41" s="261"/>
      <c r="Q41" s="2995"/>
      <c r="R41" s="2996"/>
      <c r="S41" s="2997"/>
      <c r="Z41" s="1618">
        <v>41</v>
      </c>
    </row>
    <row r="42" spans="3:26" s="144" customFormat="1" ht="11.25" customHeight="1">
      <c r="D42" s="260"/>
      <c r="E42" s="246" t="s">
        <v>574</v>
      </c>
      <c r="H42" s="2918"/>
      <c r="I42" s="2993"/>
      <c r="J42" s="2998"/>
      <c r="K42" s="262" t="s">
        <v>2451</v>
      </c>
      <c r="L42" s="2918"/>
      <c r="M42" s="2992"/>
      <c r="N42" s="2998"/>
      <c r="O42" s="259" t="s">
        <v>1598</v>
      </c>
      <c r="P42" s="261"/>
      <c r="Q42" s="2910"/>
      <c r="R42" s="2911"/>
      <c r="S42" s="2912"/>
      <c r="Z42" s="1618">
        <v>42</v>
      </c>
    </row>
    <row r="43" spans="3:26" s="144" customFormat="1" ht="11.25" customHeight="1">
      <c r="D43" s="243"/>
      <c r="E43" s="246" t="s">
        <v>1666</v>
      </c>
      <c r="H43" s="981"/>
      <c r="I43" s="261"/>
      <c r="J43" s="261"/>
      <c r="K43" s="664" t="s">
        <v>2056</v>
      </c>
      <c r="L43" s="2999"/>
      <c r="M43" s="3000"/>
      <c r="N43" s="261"/>
      <c r="O43" s="259" t="s">
        <v>1833</v>
      </c>
      <c r="P43" s="261"/>
      <c r="Q43" s="2910"/>
      <c r="R43" s="2911"/>
      <c r="S43" s="2912"/>
      <c r="Z43" s="1618">
        <v>43</v>
      </c>
    </row>
    <row r="44" spans="3:26" s="144" customFormat="1" ht="11.25" customHeight="1">
      <c r="D44" s="260"/>
      <c r="E44" s="246" t="s">
        <v>3371</v>
      </c>
      <c r="H44" s="2985"/>
      <c r="I44" s="2991"/>
      <c r="J44" s="255"/>
      <c r="K44" s="262" t="s">
        <v>1837</v>
      </c>
      <c r="L44" s="2939"/>
      <c r="M44" s="2940"/>
      <c r="N44" s="2916"/>
      <c r="O44" s="2916"/>
      <c r="P44" s="2916"/>
      <c r="Q44" s="2940"/>
      <c r="R44" s="2940"/>
      <c r="S44" s="2988"/>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45"/>
      <c r="I47" s="2989"/>
      <c r="J47" s="2989"/>
      <c r="K47" s="2989"/>
      <c r="L47" s="2989"/>
      <c r="M47" s="2989"/>
      <c r="N47" s="2990"/>
      <c r="O47" s="259" t="s">
        <v>1842</v>
      </c>
      <c r="P47" s="259"/>
      <c r="Q47" s="2945"/>
      <c r="R47" s="2989"/>
      <c r="S47" s="2990"/>
      <c r="Z47" s="1618">
        <v>47</v>
      </c>
    </row>
    <row r="48" spans="3:26" s="144" customFormat="1" ht="11.25" customHeight="1">
      <c r="D48" s="260"/>
      <c r="E48" s="246" t="s">
        <v>956</v>
      </c>
      <c r="F48" s="247"/>
      <c r="H48" s="2918"/>
      <c r="I48" s="2992"/>
      <c r="J48" s="2992"/>
      <c r="K48" s="2993"/>
      <c r="L48" s="2992"/>
      <c r="M48" s="2992"/>
      <c r="N48" s="2994"/>
      <c r="O48" s="259" t="s">
        <v>1621</v>
      </c>
      <c r="P48" s="261"/>
      <c r="Q48" s="2995"/>
      <c r="R48" s="2996"/>
      <c r="S48" s="2997"/>
      <c r="Z48" s="1618">
        <v>48</v>
      </c>
    </row>
    <row r="49" spans="1:26" s="144" customFormat="1" ht="11.25" customHeight="1">
      <c r="D49" s="260"/>
      <c r="E49" s="246" t="s">
        <v>574</v>
      </c>
      <c r="H49" s="2918"/>
      <c r="I49" s="2993"/>
      <c r="J49" s="2998"/>
      <c r="K49" s="262" t="s">
        <v>2451</v>
      </c>
      <c r="L49" s="2918"/>
      <c r="M49" s="2992"/>
      <c r="N49" s="2998"/>
      <c r="O49" s="259" t="s">
        <v>1598</v>
      </c>
      <c r="P49" s="261"/>
      <c r="Q49" s="2910"/>
      <c r="R49" s="2911"/>
      <c r="S49" s="2912"/>
      <c r="Z49" s="1618">
        <v>49</v>
      </c>
    </row>
    <row r="50" spans="1:26" s="144" customFormat="1" ht="11.25" customHeight="1">
      <c r="E50" s="246" t="s">
        <v>1666</v>
      </c>
      <c r="H50" s="981"/>
      <c r="I50" s="261"/>
      <c r="J50" s="261"/>
      <c r="K50" s="664" t="s">
        <v>2056</v>
      </c>
      <c r="L50" s="2999"/>
      <c r="M50" s="3000"/>
      <c r="N50" s="261"/>
      <c r="O50" s="259" t="s">
        <v>1833</v>
      </c>
      <c r="P50" s="261"/>
      <c r="Q50" s="2910"/>
      <c r="R50" s="2911"/>
      <c r="S50" s="2912"/>
      <c r="Z50" s="1618">
        <v>50</v>
      </c>
    </row>
    <row r="51" spans="1:26" s="144" customFormat="1" ht="11.25" customHeight="1">
      <c r="D51" s="260"/>
      <c r="E51" s="246" t="s">
        <v>3371</v>
      </c>
      <c r="H51" s="2985"/>
      <c r="I51" s="2991"/>
      <c r="J51" s="255"/>
      <c r="K51" s="262" t="s">
        <v>1837</v>
      </c>
      <c r="L51" s="2939"/>
      <c r="M51" s="2940"/>
      <c r="N51" s="2916"/>
      <c r="O51" s="2916"/>
      <c r="P51" s="2916"/>
      <c r="Q51" s="2940"/>
      <c r="R51" s="2940"/>
      <c r="S51" s="2988"/>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5"/>
      <c r="I55" s="2989"/>
      <c r="J55" s="2989"/>
      <c r="K55" s="2989"/>
      <c r="L55" s="2989"/>
      <c r="M55" s="2989"/>
      <c r="N55" s="2990"/>
      <c r="O55" s="259" t="s">
        <v>1842</v>
      </c>
      <c r="P55" s="259"/>
      <c r="Q55" s="2945"/>
      <c r="R55" s="2989"/>
      <c r="S55" s="2990"/>
      <c r="Z55" s="1618">
        <v>55</v>
      </c>
    </row>
    <row r="56" spans="1:26" s="144" customFormat="1" ht="11.25" customHeight="1">
      <c r="D56" s="260"/>
      <c r="E56" s="246" t="s">
        <v>956</v>
      </c>
      <c r="F56" s="247"/>
      <c r="H56" s="2918"/>
      <c r="I56" s="2992"/>
      <c r="J56" s="2992"/>
      <c r="K56" s="2993"/>
      <c r="L56" s="2992"/>
      <c r="M56" s="2992"/>
      <c r="N56" s="2994"/>
      <c r="O56" s="259" t="s">
        <v>1621</v>
      </c>
      <c r="P56" s="261"/>
      <c r="Q56" s="2995"/>
      <c r="R56" s="2996"/>
      <c r="S56" s="2997"/>
      <c r="Z56" s="1618">
        <v>56</v>
      </c>
    </row>
    <row r="57" spans="1:26" s="144" customFormat="1" ht="11.25" customHeight="1">
      <c r="D57" s="260"/>
      <c r="E57" s="246" t="s">
        <v>574</v>
      </c>
      <c r="H57" s="2918"/>
      <c r="I57" s="2993"/>
      <c r="J57" s="2998"/>
      <c r="K57" s="262" t="s">
        <v>2451</v>
      </c>
      <c r="L57" s="2918"/>
      <c r="M57" s="2992"/>
      <c r="N57" s="2998"/>
      <c r="O57" s="259" t="s">
        <v>1598</v>
      </c>
      <c r="P57" s="261"/>
      <c r="Q57" s="2910"/>
      <c r="R57" s="2911"/>
      <c r="S57" s="2912"/>
      <c r="Z57" s="1618">
        <v>57</v>
      </c>
    </row>
    <row r="58" spans="1:26" s="144" customFormat="1" ht="11.25" customHeight="1">
      <c r="E58" s="246" t="s">
        <v>1666</v>
      </c>
      <c r="H58" s="981"/>
      <c r="I58" s="261"/>
      <c r="J58" s="261"/>
      <c r="K58" s="664" t="s">
        <v>2056</v>
      </c>
      <c r="L58" s="2999"/>
      <c r="M58" s="3000"/>
      <c r="N58" s="261"/>
      <c r="O58" s="259" t="s">
        <v>1833</v>
      </c>
      <c r="P58" s="261"/>
      <c r="Q58" s="2910"/>
      <c r="R58" s="2911"/>
      <c r="S58" s="2912"/>
      <c r="Z58" s="1618">
        <v>58</v>
      </c>
    </row>
    <row r="59" spans="1:26" s="144" customFormat="1" ht="11.25" customHeight="1">
      <c r="D59" s="260"/>
      <c r="E59" s="246" t="s">
        <v>3371</v>
      </c>
      <c r="H59" s="2985"/>
      <c r="I59" s="2991"/>
      <c r="J59" s="255"/>
      <c r="K59" s="262" t="s">
        <v>1837</v>
      </c>
      <c r="L59" s="2939"/>
      <c r="M59" s="2940"/>
      <c r="N59" s="2916"/>
      <c r="O59" s="2916"/>
      <c r="P59" s="2916"/>
      <c r="Q59" s="2940"/>
      <c r="R59" s="2940"/>
      <c r="S59" s="2988"/>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5"/>
      <c r="I61" s="2989"/>
      <c r="J61" s="2989"/>
      <c r="K61" s="2989"/>
      <c r="L61" s="2989"/>
      <c r="M61" s="2989"/>
      <c r="N61" s="2990"/>
      <c r="O61" s="259" t="s">
        <v>1842</v>
      </c>
      <c r="P61" s="259"/>
      <c r="Q61" s="2945"/>
      <c r="R61" s="2989"/>
      <c r="S61" s="2990"/>
      <c r="Z61" s="1618">
        <v>61</v>
      </c>
    </row>
    <row r="62" spans="1:26" s="144" customFormat="1" ht="11.25" customHeight="1">
      <c r="D62" s="260"/>
      <c r="E62" s="246" t="s">
        <v>956</v>
      </c>
      <c r="F62" s="247"/>
      <c r="H62" s="2918"/>
      <c r="I62" s="2992"/>
      <c r="J62" s="2992"/>
      <c r="K62" s="2993"/>
      <c r="L62" s="2992"/>
      <c r="M62" s="2992"/>
      <c r="N62" s="2994"/>
      <c r="O62" s="259" t="s">
        <v>1621</v>
      </c>
      <c r="P62" s="261"/>
      <c r="Q62" s="2995"/>
      <c r="R62" s="2996"/>
      <c r="S62" s="2997"/>
      <c r="Z62" s="1618">
        <v>62</v>
      </c>
    </row>
    <row r="63" spans="1:26" s="144" customFormat="1" ht="11.25" customHeight="1">
      <c r="D63" s="260"/>
      <c r="E63" s="246" t="s">
        <v>574</v>
      </c>
      <c r="H63" s="2918"/>
      <c r="I63" s="2993"/>
      <c r="J63" s="2998"/>
      <c r="K63" s="262" t="s">
        <v>2451</v>
      </c>
      <c r="L63" s="2918"/>
      <c r="M63" s="2992"/>
      <c r="N63" s="2998"/>
      <c r="O63" s="259" t="s">
        <v>1598</v>
      </c>
      <c r="P63" s="261"/>
      <c r="Q63" s="2910"/>
      <c r="R63" s="2911"/>
      <c r="S63" s="2912"/>
      <c r="Z63" s="1618">
        <v>63</v>
      </c>
    </row>
    <row r="64" spans="1:26" s="144" customFormat="1" ht="11.25" customHeight="1">
      <c r="E64" s="246" t="s">
        <v>1666</v>
      </c>
      <c r="H64" s="981"/>
      <c r="I64" s="261"/>
      <c r="J64" s="261"/>
      <c r="K64" s="664" t="s">
        <v>2056</v>
      </c>
      <c r="L64" s="2999"/>
      <c r="M64" s="3000"/>
      <c r="N64" s="261"/>
      <c r="O64" s="259" t="s">
        <v>1833</v>
      </c>
      <c r="P64" s="261"/>
      <c r="Q64" s="2910"/>
      <c r="R64" s="2911"/>
      <c r="S64" s="2912"/>
      <c r="Z64" s="1618">
        <v>64</v>
      </c>
    </row>
    <row r="65" spans="1:26" s="144" customFormat="1" ht="11.25" customHeight="1">
      <c r="D65" s="260"/>
      <c r="E65" s="246" t="s">
        <v>3371</v>
      </c>
      <c r="H65" s="2985"/>
      <c r="I65" s="2991"/>
      <c r="J65" s="255"/>
      <c r="K65" s="262" t="s">
        <v>1837</v>
      </c>
      <c r="L65" s="2939"/>
      <c r="M65" s="2940"/>
      <c r="N65" s="2916"/>
      <c r="O65" s="2916"/>
      <c r="P65" s="2916"/>
      <c r="Q65" s="2940"/>
      <c r="R65" s="2940"/>
      <c r="S65" s="2988"/>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5"/>
      <c r="I67" s="2989"/>
      <c r="J67" s="2989"/>
      <c r="K67" s="2989"/>
      <c r="L67" s="2989"/>
      <c r="M67" s="2989"/>
      <c r="N67" s="2990"/>
      <c r="O67" s="259" t="s">
        <v>1842</v>
      </c>
      <c r="P67" s="259"/>
      <c r="Q67" s="2945"/>
      <c r="R67" s="2989"/>
      <c r="S67" s="2990"/>
      <c r="Z67" s="1618">
        <v>67</v>
      </c>
    </row>
    <row r="68" spans="1:26" s="144" customFormat="1" ht="11.25" customHeight="1">
      <c r="D68" s="260"/>
      <c r="E68" s="246" t="s">
        <v>956</v>
      </c>
      <c r="F68" s="247"/>
      <c r="H68" s="2918"/>
      <c r="I68" s="2992"/>
      <c r="J68" s="2992"/>
      <c r="K68" s="2993"/>
      <c r="L68" s="2992"/>
      <c r="M68" s="2992"/>
      <c r="N68" s="2994"/>
      <c r="O68" s="259" t="s">
        <v>1621</v>
      </c>
      <c r="P68" s="261"/>
      <c r="Q68" s="2995"/>
      <c r="R68" s="2996"/>
      <c r="S68" s="2997"/>
      <c r="Z68" s="1618">
        <v>68</v>
      </c>
    </row>
    <row r="69" spans="1:26" s="144" customFormat="1" ht="11.25" customHeight="1">
      <c r="D69" s="260"/>
      <c r="E69" s="246" t="s">
        <v>574</v>
      </c>
      <c r="H69" s="2918"/>
      <c r="I69" s="2993"/>
      <c r="J69" s="2998"/>
      <c r="K69" s="262" t="s">
        <v>2451</v>
      </c>
      <c r="L69" s="2918"/>
      <c r="M69" s="2992"/>
      <c r="N69" s="2998"/>
      <c r="O69" s="259" t="s">
        <v>1598</v>
      </c>
      <c r="P69" s="261"/>
      <c r="Q69" s="2910"/>
      <c r="R69" s="2911"/>
      <c r="S69" s="2912"/>
      <c r="Z69" s="1618">
        <v>69</v>
      </c>
    </row>
    <row r="70" spans="1:26" s="144" customFormat="1" ht="11.25" customHeight="1">
      <c r="E70" s="246" t="s">
        <v>1666</v>
      </c>
      <c r="H70" s="981"/>
      <c r="I70" s="261"/>
      <c r="J70" s="261"/>
      <c r="K70" s="664" t="s">
        <v>2056</v>
      </c>
      <c r="L70" s="2999"/>
      <c r="M70" s="3000"/>
      <c r="N70" s="261"/>
      <c r="O70" s="259" t="s">
        <v>1833</v>
      </c>
      <c r="P70" s="261"/>
      <c r="Q70" s="2910"/>
      <c r="R70" s="2911"/>
      <c r="S70" s="2912"/>
      <c r="Z70" s="1618">
        <v>70</v>
      </c>
    </row>
    <row r="71" spans="1:26" s="144" customFormat="1" ht="11.25" customHeight="1">
      <c r="D71" s="260"/>
      <c r="E71" s="246" t="s">
        <v>3371</v>
      </c>
      <c r="H71" s="2985"/>
      <c r="I71" s="2991"/>
      <c r="J71" s="255"/>
      <c r="K71" s="262" t="s">
        <v>1837</v>
      </c>
      <c r="L71" s="2939"/>
      <c r="M71" s="2940"/>
      <c r="N71" s="2916"/>
      <c r="O71" s="2916"/>
      <c r="P71" s="2916"/>
      <c r="Q71" s="2940"/>
      <c r="R71" s="2940"/>
      <c r="S71" s="2988"/>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5"/>
      <c r="I73" s="2989"/>
      <c r="J73" s="2989"/>
      <c r="K73" s="2989"/>
      <c r="L73" s="2989"/>
      <c r="M73" s="2989"/>
      <c r="N73" s="2990"/>
      <c r="O73" s="259" t="s">
        <v>1842</v>
      </c>
      <c r="P73" s="259"/>
      <c r="Q73" s="2945"/>
      <c r="R73" s="2989"/>
      <c r="S73" s="2990"/>
      <c r="Z73" s="1618">
        <v>73</v>
      </c>
    </row>
    <row r="74" spans="1:26" s="144" customFormat="1" ht="11.25" customHeight="1">
      <c r="D74" s="260"/>
      <c r="E74" s="246" t="s">
        <v>956</v>
      </c>
      <c r="F74" s="247"/>
      <c r="H74" s="2918"/>
      <c r="I74" s="2992"/>
      <c r="J74" s="2992"/>
      <c r="K74" s="2993"/>
      <c r="L74" s="2992"/>
      <c r="M74" s="2992"/>
      <c r="N74" s="2994"/>
      <c r="O74" s="259" t="s">
        <v>1621</v>
      </c>
      <c r="P74" s="261"/>
      <c r="Q74" s="2995"/>
      <c r="R74" s="2996"/>
      <c r="S74" s="2997"/>
      <c r="Z74" s="1618">
        <v>74</v>
      </c>
    </row>
    <row r="75" spans="1:26" s="144" customFormat="1" ht="11.25" customHeight="1">
      <c r="D75" s="260"/>
      <c r="E75" s="246" t="s">
        <v>574</v>
      </c>
      <c r="H75" s="2918"/>
      <c r="I75" s="2993"/>
      <c r="J75" s="2998"/>
      <c r="K75" s="262" t="s">
        <v>2451</v>
      </c>
      <c r="L75" s="2918"/>
      <c r="M75" s="2992"/>
      <c r="N75" s="2998"/>
      <c r="O75" s="259" t="s">
        <v>1598</v>
      </c>
      <c r="P75" s="261"/>
      <c r="Q75" s="2910"/>
      <c r="R75" s="2911"/>
      <c r="S75" s="2912"/>
      <c r="Z75" s="1618">
        <v>75</v>
      </c>
    </row>
    <row r="76" spans="1:26" s="144" customFormat="1" ht="11.25" customHeight="1">
      <c r="E76" s="246" t="s">
        <v>1666</v>
      </c>
      <c r="H76" s="981"/>
      <c r="I76" s="261"/>
      <c r="J76" s="261"/>
      <c r="K76" s="664" t="s">
        <v>2056</v>
      </c>
      <c r="L76" s="2999"/>
      <c r="M76" s="3000"/>
      <c r="N76" s="261"/>
      <c r="O76" s="259" t="s">
        <v>1833</v>
      </c>
      <c r="P76" s="261"/>
      <c r="Q76" s="2910"/>
      <c r="R76" s="2911"/>
      <c r="S76" s="2912"/>
      <c r="Z76" s="1618">
        <v>76</v>
      </c>
    </row>
    <row r="77" spans="1:26" s="144" customFormat="1" ht="11.25" customHeight="1">
      <c r="D77" s="260"/>
      <c r="E77" s="246" t="s">
        <v>3371</v>
      </c>
      <c r="H77" s="2985"/>
      <c r="I77" s="2991"/>
      <c r="J77" s="255"/>
      <c r="K77" s="262" t="s">
        <v>1837</v>
      </c>
      <c r="L77" s="2939"/>
      <c r="M77" s="2940"/>
      <c r="N77" s="2916"/>
      <c r="O77" s="2916"/>
      <c r="P77" s="2916"/>
      <c r="Q77" s="2940"/>
      <c r="R77" s="2940"/>
      <c r="S77" s="2988"/>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5"/>
      <c r="I81" s="2989"/>
      <c r="J81" s="2989"/>
      <c r="K81" s="2989"/>
      <c r="L81" s="2989"/>
      <c r="M81" s="2989"/>
      <c r="N81" s="2990"/>
      <c r="O81" s="259" t="s">
        <v>1842</v>
      </c>
      <c r="P81" s="259"/>
      <c r="Q81" s="2945"/>
      <c r="R81" s="2989"/>
      <c r="S81" s="2990"/>
      <c r="Z81" s="1618">
        <v>81</v>
      </c>
    </row>
    <row r="82" spans="2:26" s="144" customFormat="1" ht="11.25" customHeight="1">
      <c r="D82" s="260"/>
      <c r="E82" s="246" t="s">
        <v>956</v>
      </c>
      <c r="F82" s="247"/>
      <c r="H82" s="2918"/>
      <c r="I82" s="2992"/>
      <c r="J82" s="2992"/>
      <c r="K82" s="2993"/>
      <c r="L82" s="2992"/>
      <c r="M82" s="2992"/>
      <c r="N82" s="2994"/>
      <c r="O82" s="259" t="s">
        <v>1621</v>
      </c>
      <c r="P82" s="261"/>
      <c r="Q82" s="2995"/>
      <c r="R82" s="2996"/>
      <c r="S82" s="2997"/>
      <c r="Z82" s="1618">
        <v>82</v>
      </c>
    </row>
    <row r="83" spans="2:26" s="144" customFormat="1" ht="11.25" customHeight="1">
      <c r="D83" s="260"/>
      <c r="E83" s="246" t="s">
        <v>574</v>
      </c>
      <c r="H83" s="2918"/>
      <c r="I83" s="2993"/>
      <c r="J83" s="2998"/>
      <c r="K83" s="262" t="s">
        <v>2451</v>
      </c>
      <c r="L83" s="2918"/>
      <c r="M83" s="2992"/>
      <c r="N83" s="2998"/>
      <c r="O83" s="259" t="s">
        <v>1598</v>
      </c>
      <c r="P83" s="261"/>
      <c r="Q83" s="2910"/>
      <c r="R83" s="2911"/>
      <c r="S83" s="2912"/>
      <c r="Z83" s="1618">
        <v>83</v>
      </c>
    </row>
    <row r="84" spans="2:26" s="144" customFormat="1" ht="11.25" customHeight="1">
      <c r="E84" s="246" t="s">
        <v>1666</v>
      </c>
      <c r="H84" s="981"/>
      <c r="I84" s="261"/>
      <c r="J84" s="261"/>
      <c r="K84" s="664" t="s">
        <v>2056</v>
      </c>
      <c r="L84" s="2999"/>
      <c r="M84" s="3000"/>
      <c r="N84" s="261"/>
      <c r="O84" s="259" t="s">
        <v>1833</v>
      </c>
      <c r="P84" s="261"/>
      <c r="Q84" s="2910"/>
      <c r="R84" s="2911"/>
      <c r="S84" s="2912"/>
      <c r="Z84" s="1618">
        <v>84</v>
      </c>
    </row>
    <row r="85" spans="2:26" s="144" customFormat="1" ht="11.25" customHeight="1">
      <c r="D85" s="260"/>
      <c r="E85" s="246" t="s">
        <v>3371</v>
      </c>
      <c r="H85" s="2985"/>
      <c r="I85" s="2991"/>
      <c r="J85" s="255"/>
      <c r="K85" s="262" t="s">
        <v>1837</v>
      </c>
      <c r="L85" s="2939"/>
      <c r="M85" s="2940"/>
      <c r="N85" s="2916"/>
      <c r="O85" s="2916"/>
      <c r="P85" s="2916"/>
      <c r="Q85" s="2940"/>
      <c r="R85" s="2940"/>
      <c r="S85" s="2988"/>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5"/>
      <c r="I87" s="2989"/>
      <c r="J87" s="2989"/>
      <c r="K87" s="2989"/>
      <c r="L87" s="2989"/>
      <c r="M87" s="2989"/>
      <c r="N87" s="2990"/>
      <c r="O87" s="259" t="s">
        <v>1842</v>
      </c>
      <c r="P87" s="259"/>
      <c r="Q87" s="2945"/>
      <c r="R87" s="2989"/>
      <c r="S87" s="2990"/>
      <c r="Z87" s="1618">
        <v>87</v>
      </c>
    </row>
    <row r="88" spans="2:26" s="144" customFormat="1" ht="11.25" customHeight="1">
      <c r="D88" s="260"/>
      <c r="E88" s="246" t="s">
        <v>956</v>
      </c>
      <c r="F88" s="247"/>
      <c r="H88" s="2918"/>
      <c r="I88" s="2992"/>
      <c r="J88" s="2992"/>
      <c r="K88" s="2993"/>
      <c r="L88" s="2992"/>
      <c r="M88" s="2992"/>
      <c r="N88" s="2994"/>
      <c r="O88" s="259" t="s">
        <v>1621</v>
      </c>
      <c r="P88" s="261"/>
      <c r="Q88" s="2995"/>
      <c r="R88" s="2996"/>
      <c r="S88" s="2997"/>
      <c r="Z88" s="1618">
        <v>88</v>
      </c>
    </row>
    <row r="89" spans="2:26" s="144" customFormat="1" ht="11.25" customHeight="1">
      <c r="D89" s="260"/>
      <c r="E89" s="246" t="s">
        <v>574</v>
      </c>
      <c r="H89" s="2918"/>
      <c r="I89" s="2993"/>
      <c r="J89" s="2998"/>
      <c r="K89" s="262" t="s">
        <v>2451</v>
      </c>
      <c r="L89" s="2918"/>
      <c r="M89" s="2992"/>
      <c r="N89" s="2998"/>
      <c r="O89" s="259" t="s">
        <v>1598</v>
      </c>
      <c r="P89" s="261"/>
      <c r="Q89" s="2910"/>
      <c r="R89" s="2911"/>
      <c r="S89" s="2912"/>
      <c r="Z89" s="1618">
        <v>89</v>
      </c>
    </row>
    <row r="90" spans="2:26" s="144" customFormat="1" ht="11.25" customHeight="1">
      <c r="E90" s="246" t="s">
        <v>1666</v>
      </c>
      <c r="H90" s="981"/>
      <c r="I90" s="261"/>
      <c r="J90" s="261"/>
      <c r="K90" s="664" t="s">
        <v>2056</v>
      </c>
      <c r="L90" s="2999"/>
      <c r="M90" s="3000"/>
      <c r="N90" s="261"/>
      <c r="O90" s="259" t="s">
        <v>1833</v>
      </c>
      <c r="P90" s="261"/>
      <c r="Q90" s="2910"/>
      <c r="R90" s="2911"/>
      <c r="S90" s="2912"/>
      <c r="Z90" s="1618">
        <v>90</v>
      </c>
    </row>
    <row r="91" spans="2:26" s="144" customFormat="1" ht="11.25" customHeight="1">
      <c r="D91" s="260"/>
      <c r="E91" s="246" t="s">
        <v>3371</v>
      </c>
      <c r="H91" s="2985"/>
      <c r="I91" s="2991"/>
      <c r="J91" s="255"/>
      <c r="K91" s="262" t="s">
        <v>1837</v>
      </c>
      <c r="L91" s="2939"/>
      <c r="M91" s="2940"/>
      <c r="N91" s="2916"/>
      <c r="O91" s="2916"/>
      <c r="P91" s="2916"/>
      <c r="Q91" s="2940"/>
      <c r="R91" s="2940"/>
      <c r="S91" s="2988"/>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5"/>
      <c r="I93" s="2989"/>
      <c r="J93" s="2989"/>
      <c r="K93" s="2989"/>
      <c r="L93" s="2989"/>
      <c r="M93" s="2989"/>
      <c r="N93" s="2990"/>
      <c r="O93" s="259" t="s">
        <v>1842</v>
      </c>
      <c r="P93" s="259"/>
      <c r="Q93" s="2945"/>
      <c r="R93" s="2989"/>
      <c r="S93" s="2990"/>
      <c r="Z93" s="1618">
        <v>93</v>
      </c>
    </row>
    <row r="94" spans="2:26" s="144" customFormat="1" ht="11.25" customHeight="1">
      <c r="D94" s="260"/>
      <c r="E94" s="246" t="s">
        <v>956</v>
      </c>
      <c r="F94" s="247"/>
      <c r="H94" s="2918"/>
      <c r="I94" s="2992"/>
      <c r="J94" s="2992"/>
      <c r="K94" s="2993"/>
      <c r="L94" s="2992"/>
      <c r="M94" s="2992"/>
      <c r="N94" s="2994"/>
      <c r="O94" s="259" t="s">
        <v>1621</v>
      </c>
      <c r="P94" s="261"/>
      <c r="Q94" s="2995"/>
      <c r="R94" s="2996"/>
      <c r="S94" s="2997"/>
      <c r="Z94" s="1618">
        <v>94</v>
      </c>
    </row>
    <row r="95" spans="2:26" s="144" customFormat="1" ht="11.25" customHeight="1">
      <c r="D95" s="260"/>
      <c r="E95" s="246" t="s">
        <v>574</v>
      </c>
      <c r="H95" s="2918"/>
      <c r="I95" s="2993"/>
      <c r="J95" s="2998"/>
      <c r="K95" s="262" t="s">
        <v>2451</v>
      </c>
      <c r="L95" s="2918"/>
      <c r="M95" s="2992"/>
      <c r="N95" s="2998"/>
      <c r="O95" s="259" t="s">
        <v>1598</v>
      </c>
      <c r="P95" s="261"/>
      <c r="Q95" s="2910"/>
      <c r="R95" s="2911"/>
      <c r="S95" s="2912"/>
      <c r="Z95" s="1618">
        <v>95</v>
      </c>
    </row>
    <row r="96" spans="2:26" s="144" customFormat="1" ht="11.25" customHeight="1">
      <c r="D96" s="260"/>
      <c r="E96" s="246" t="s">
        <v>1666</v>
      </c>
      <c r="H96" s="981"/>
      <c r="I96" s="261"/>
      <c r="J96" s="261"/>
      <c r="K96" s="664" t="s">
        <v>2056</v>
      </c>
      <c r="L96" s="2999"/>
      <c r="M96" s="3000"/>
      <c r="N96" s="261"/>
      <c r="O96" s="259" t="s">
        <v>1833</v>
      </c>
      <c r="P96" s="261"/>
      <c r="Q96" s="2910"/>
      <c r="R96" s="2911"/>
      <c r="S96" s="2912"/>
      <c r="Z96" s="1618">
        <v>96</v>
      </c>
    </row>
    <row r="97" spans="2:26" s="144" customFormat="1" ht="11.25" customHeight="1">
      <c r="D97" s="260"/>
      <c r="E97" s="246" t="s">
        <v>3371</v>
      </c>
      <c r="H97" s="2985"/>
      <c r="I97" s="2991"/>
      <c r="J97" s="255"/>
      <c r="K97" s="262" t="s">
        <v>1837</v>
      </c>
      <c r="L97" s="2939"/>
      <c r="M97" s="2940"/>
      <c r="N97" s="2916"/>
      <c r="O97" s="2916"/>
      <c r="P97" s="2916"/>
      <c r="Q97" s="2940"/>
      <c r="R97" s="2940"/>
      <c r="S97" s="2988"/>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5"/>
      <c r="I99" s="2989"/>
      <c r="J99" s="2989"/>
      <c r="K99" s="2989"/>
      <c r="L99" s="2989"/>
      <c r="M99" s="2989"/>
      <c r="N99" s="2990"/>
      <c r="O99" s="259" t="s">
        <v>1842</v>
      </c>
      <c r="P99" s="259"/>
      <c r="Q99" s="2945"/>
      <c r="R99" s="2989"/>
      <c r="S99" s="2990"/>
      <c r="Z99" s="1618">
        <v>99</v>
      </c>
    </row>
    <row r="100" spans="2:26" s="144" customFormat="1" ht="11.25" customHeight="1">
      <c r="D100" s="260"/>
      <c r="E100" s="246" t="s">
        <v>956</v>
      </c>
      <c r="F100" s="247"/>
      <c r="H100" s="2918"/>
      <c r="I100" s="2992"/>
      <c r="J100" s="2992"/>
      <c r="K100" s="2993"/>
      <c r="L100" s="2992"/>
      <c r="M100" s="2992"/>
      <c r="N100" s="2994"/>
      <c r="O100" s="259" t="s">
        <v>1621</v>
      </c>
      <c r="P100" s="261"/>
      <c r="Q100" s="2995"/>
      <c r="R100" s="2996"/>
      <c r="S100" s="2997"/>
      <c r="Z100" s="1618">
        <v>100</v>
      </c>
    </row>
    <row r="101" spans="2:26" s="144" customFormat="1" ht="11.25" customHeight="1">
      <c r="D101" s="260"/>
      <c r="E101" s="246" t="s">
        <v>574</v>
      </c>
      <c r="H101" s="2918"/>
      <c r="I101" s="2993"/>
      <c r="J101" s="2998"/>
      <c r="K101" s="262" t="s">
        <v>2451</v>
      </c>
      <c r="L101" s="2918"/>
      <c r="M101" s="2992"/>
      <c r="N101" s="2998"/>
      <c r="O101" s="259" t="s">
        <v>1598</v>
      </c>
      <c r="P101" s="261"/>
      <c r="Q101" s="2910"/>
      <c r="R101" s="2911"/>
      <c r="S101" s="2912"/>
      <c r="Z101" s="1618">
        <v>101</v>
      </c>
    </row>
    <row r="102" spans="2:26" s="144" customFormat="1" ht="11.25" customHeight="1">
      <c r="D102" s="260"/>
      <c r="E102" s="246" t="s">
        <v>1666</v>
      </c>
      <c r="H102" s="981"/>
      <c r="I102" s="261"/>
      <c r="J102" s="261"/>
      <c r="K102" s="664" t="s">
        <v>2056</v>
      </c>
      <c r="L102" s="2999"/>
      <c r="M102" s="3000"/>
      <c r="N102" s="261"/>
      <c r="O102" s="259" t="s">
        <v>1833</v>
      </c>
      <c r="P102" s="261"/>
      <c r="Q102" s="2910"/>
      <c r="R102" s="2911"/>
      <c r="S102" s="2912"/>
      <c r="Z102" s="1618">
        <v>102</v>
      </c>
    </row>
    <row r="103" spans="2:26" ht="11.25" customHeight="1">
      <c r="E103" s="246" t="s">
        <v>3371</v>
      </c>
      <c r="F103" s="144"/>
      <c r="G103" s="144"/>
      <c r="H103" s="2985"/>
      <c r="I103" s="2991"/>
      <c r="J103" s="255"/>
      <c r="K103" s="262" t="s">
        <v>1837</v>
      </c>
      <c r="L103" s="2939"/>
      <c r="M103" s="2940"/>
      <c r="N103" s="2916"/>
      <c r="O103" s="2916"/>
      <c r="P103" s="2916"/>
      <c r="Q103" s="2940"/>
      <c r="R103" s="2940"/>
      <c r="S103" s="2988"/>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5"/>
      <c r="I105" s="2989"/>
      <c r="J105" s="2989"/>
      <c r="K105" s="2989"/>
      <c r="L105" s="2989"/>
      <c r="M105" s="2989"/>
      <c r="N105" s="2990"/>
      <c r="O105" s="259" t="s">
        <v>1842</v>
      </c>
      <c r="P105" s="259"/>
      <c r="Q105" s="2945"/>
      <c r="R105" s="2989"/>
      <c r="S105" s="2990"/>
      <c r="Z105" s="1618">
        <v>105</v>
      </c>
    </row>
    <row r="106" spans="2:26" s="144" customFormat="1" ht="11.25" customHeight="1">
      <c r="D106" s="260"/>
      <c r="E106" s="246" t="s">
        <v>956</v>
      </c>
      <c r="F106" s="247"/>
      <c r="H106" s="2918"/>
      <c r="I106" s="2992"/>
      <c r="J106" s="2992"/>
      <c r="K106" s="2993"/>
      <c r="L106" s="2992"/>
      <c r="M106" s="2992"/>
      <c r="N106" s="2994"/>
      <c r="O106" s="259" t="s">
        <v>1621</v>
      </c>
      <c r="P106" s="261"/>
      <c r="Q106" s="2995"/>
      <c r="R106" s="2996"/>
      <c r="S106" s="2997"/>
      <c r="Z106" s="1618">
        <v>106</v>
      </c>
    </row>
    <row r="107" spans="2:26" s="144" customFormat="1" ht="11.25" customHeight="1">
      <c r="D107" s="260"/>
      <c r="E107" s="246" t="s">
        <v>574</v>
      </c>
      <c r="H107" s="2918"/>
      <c r="I107" s="2993"/>
      <c r="J107" s="2998"/>
      <c r="K107" s="262" t="s">
        <v>2451</v>
      </c>
      <c r="L107" s="2918"/>
      <c r="M107" s="2992"/>
      <c r="N107" s="2998"/>
      <c r="O107" s="259" t="s">
        <v>1598</v>
      </c>
      <c r="P107" s="261"/>
      <c r="Q107" s="2910"/>
      <c r="R107" s="2911"/>
      <c r="S107" s="2912"/>
      <c r="Z107" s="1618">
        <v>107</v>
      </c>
    </row>
    <row r="108" spans="2:26" s="144" customFormat="1" ht="11.25" customHeight="1">
      <c r="D108" s="260"/>
      <c r="E108" s="246" t="s">
        <v>1666</v>
      </c>
      <c r="H108" s="981"/>
      <c r="I108" s="261"/>
      <c r="J108" s="261"/>
      <c r="K108" s="664" t="s">
        <v>2056</v>
      </c>
      <c r="L108" s="2999"/>
      <c r="M108" s="3000"/>
      <c r="N108" s="261"/>
      <c r="O108" s="259" t="s">
        <v>1833</v>
      </c>
      <c r="P108" s="261"/>
      <c r="Q108" s="2910"/>
      <c r="R108" s="2911"/>
      <c r="S108" s="2912"/>
      <c r="Z108" s="1618">
        <v>108</v>
      </c>
    </row>
    <row r="109" spans="2:26" ht="11.25" customHeight="1">
      <c r="E109" s="246" t="s">
        <v>3371</v>
      </c>
      <c r="F109" s="144"/>
      <c r="G109" s="144"/>
      <c r="H109" s="2985"/>
      <c r="I109" s="2991"/>
      <c r="J109" s="255"/>
      <c r="K109" s="262" t="s">
        <v>1837</v>
      </c>
      <c r="L109" s="2939"/>
      <c r="M109" s="2940"/>
      <c r="N109" s="2916"/>
      <c r="O109" s="2916"/>
      <c r="P109" s="2916"/>
      <c r="Q109" s="2940"/>
      <c r="R109" s="2940"/>
      <c r="S109" s="2988"/>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5"/>
      <c r="I111" s="2989"/>
      <c r="J111" s="2989"/>
      <c r="K111" s="2989"/>
      <c r="L111" s="2989"/>
      <c r="M111" s="2989"/>
      <c r="N111" s="2990"/>
      <c r="O111" s="259" t="s">
        <v>1842</v>
      </c>
      <c r="P111" s="259"/>
      <c r="Q111" s="2945"/>
      <c r="R111" s="2989"/>
      <c r="S111" s="2990"/>
      <c r="Z111" s="1618">
        <v>111</v>
      </c>
    </row>
    <row r="112" spans="2:26" s="144" customFormat="1" ht="11.25" customHeight="1">
      <c r="D112" s="260"/>
      <c r="E112" s="246" t="s">
        <v>956</v>
      </c>
      <c r="F112" s="247"/>
      <c r="H112" s="2918"/>
      <c r="I112" s="2992"/>
      <c r="J112" s="2992"/>
      <c r="K112" s="2993"/>
      <c r="L112" s="2992"/>
      <c r="M112" s="2992"/>
      <c r="N112" s="2994"/>
      <c r="O112" s="259" t="s">
        <v>1621</v>
      </c>
      <c r="P112" s="261"/>
      <c r="Q112" s="2995"/>
      <c r="R112" s="2996"/>
      <c r="S112" s="2997"/>
      <c r="Z112" s="1618">
        <v>112</v>
      </c>
    </row>
    <row r="113" spans="1:26" s="144" customFormat="1" ht="11.25" customHeight="1">
      <c r="D113" s="260"/>
      <c r="E113" s="246" t="s">
        <v>574</v>
      </c>
      <c r="H113" s="2918"/>
      <c r="I113" s="2993"/>
      <c r="J113" s="2998"/>
      <c r="K113" s="262" t="s">
        <v>2451</v>
      </c>
      <c r="L113" s="2918"/>
      <c r="M113" s="2992"/>
      <c r="N113" s="2998"/>
      <c r="O113" s="259" t="s">
        <v>1598</v>
      </c>
      <c r="P113" s="261"/>
      <c r="Q113" s="2910"/>
      <c r="R113" s="2911"/>
      <c r="S113" s="2912"/>
      <c r="Z113" s="1618">
        <v>113</v>
      </c>
    </row>
    <row r="114" spans="1:26" s="144" customFormat="1" ht="11.25" customHeight="1">
      <c r="D114" s="260"/>
      <c r="E114" s="246" t="s">
        <v>1666</v>
      </c>
      <c r="H114" s="981"/>
      <c r="I114" s="261"/>
      <c r="J114" s="261"/>
      <c r="K114" s="664" t="s">
        <v>2056</v>
      </c>
      <c r="L114" s="2999"/>
      <c r="M114" s="3000"/>
      <c r="N114" s="261"/>
      <c r="O114" s="259" t="s">
        <v>1833</v>
      </c>
      <c r="P114" s="261"/>
      <c r="Q114" s="2910"/>
      <c r="R114" s="2911"/>
      <c r="S114" s="2912"/>
      <c r="Z114" s="1618">
        <v>114</v>
      </c>
    </row>
    <row r="115" spans="1:26" s="144" customFormat="1" ht="11.25" customHeight="1">
      <c r="D115" s="260"/>
      <c r="E115" s="246" t="s">
        <v>3371</v>
      </c>
      <c r="H115" s="2985"/>
      <c r="I115" s="2991"/>
      <c r="J115" s="255"/>
      <c r="K115" s="262" t="s">
        <v>1837</v>
      </c>
      <c r="L115" s="2939"/>
      <c r="M115" s="2940"/>
      <c r="N115" s="2916"/>
      <c r="O115" s="2916"/>
      <c r="P115" s="2916"/>
      <c r="Q115" s="2940"/>
      <c r="R115" s="2940"/>
      <c r="S115" s="2988"/>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4117</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4364</v>
      </c>
      <c r="H120" s="2945"/>
      <c r="I120" s="2946"/>
      <c r="J120" s="2947"/>
      <c r="K120" s="262" t="s">
        <v>1665</v>
      </c>
      <c r="L120" s="2945"/>
      <c r="M120" s="2989"/>
      <c r="N120" s="2990"/>
      <c r="O120" s="259" t="s">
        <v>3055</v>
      </c>
      <c r="P120" s="261"/>
      <c r="Q120" s="3008"/>
      <c r="R120" s="3009"/>
      <c r="S120" s="3010"/>
      <c r="Z120" s="1618">
        <v>120</v>
      </c>
    </row>
    <row r="121" spans="1:26" s="144" customFormat="1" ht="11.25" customHeight="1">
      <c r="C121" s="243"/>
      <c r="D121" s="260"/>
      <c r="E121" s="246" t="s">
        <v>4118</v>
      </c>
      <c r="F121" s="247"/>
      <c r="H121" s="3011"/>
      <c r="I121" s="3012"/>
      <c r="J121" s="3013"/>
      <c r="K121" s="3014"/>
      <c r="L121" s="3012"/>
      <c r="M121" s="3012"/>
      <c r="N121" s="3015"/>
      <c r="O121" s="259" t="s">
        <v>574</v>
      </c>
      <c r="P121" s="261"/>
      <c r="Q121" s="3016"/>
      <c r="R121" s="3017"/>
      <c r="S121" s="3018"/>
      <c r="Z121" s="1618">
        <v>121</v>
      </c>
    </row>
    <row r="122" spans="1:26" s="144" customFormat="1" ht="11.25" customHeight="1">
      <c r="C122" s="243"/>
      <c r="D122" s="260"/>
      <c r="E122" s="246" t="s">
        <v>1666</v>
      </c>
      <c r="H122" s="1198"/>
      <c r="I122" s="664" t="s">
        <v>2056</v>
      </c>
      <c r="J122" s="3019"/>
      <c r="K122" s="2998"/>
      <c r="L122" s="262" t="s">
        <v>1837</v>
      </c>
      <c r="M122" s="2987"/>
      <c r="N122" s="2916"/>
      <c r="O122" s="2916"/>
      <c r="P122" s="2916"/>
      <c r="Q122" s="2940"/>
      <c r="R122" s="2940"/>
      <c r="S122" s="2988"/>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4365</v>
      </c>
      <c r="H124" s="2945"/>
      <c r="I124" s="2946"/>
      <c r="J124" s="2947"/>
      <c r="K124" s="262" t="s">
        <v>1665</v>
      </c>
      <c r="L124" s="2945"/>
      <c r="M124" s="2989"/>
      <c r="N124" s="2990"/>
      <c r="O124" s="259" t="s">
        <v>3055</v>
      </c>
      <c r="P124" s="261"/>
      <c r="Q124" s="3008"/>
      <c r="R124" s="3009"/>
      <c r="S124" s="3010"/>
      <c r="Z124" s="1618">
        <v>124</v>
      </c>
    </row>
    <row r="125" spans="1:26" s="144" customFormat="1" ht="11.25" hidden="1" customHeight="1">
      <c r="C125" s="243"/>
      <c r="D125" s="260"/>
      <c r="E125" s="246" t="s">
        <v>4118</v>
      </c>
      <c r="F125" s="247"/>
      <c r="H125" s="3011"/>
      <c r="I125" s="3012"/>
      <c r="J125" s="3013"/>
      <c r="K125" s="3014"/>
      <c r="L125" s="3012"/>
      <c r="M125" s="3012"/>
      <c r="N125" s="3015"/>
      <c r="O125" s="259" t="s">
        <v>574</v>
      </c>
      <c r="P125" s="261"/>
      <c r="Q125" s="3016"/>
      <c r="R125" s="3017"/>
      <c r="S125" s="3018"/>
      <c r="Z125" s="1618">
        <v>125</v>
      </c>
    </row>
    <row r="126" spans="1:26" s="144" customFormat="1" ht="11.25" hidden="1" customHeight="1">
      <c r="C126" s="243"/>
      <c r="D126" s="260"/>
      <c r="E126" s="246" t="s">
        <v>1666</v>
      </c>
      <c r="H126" s="1198"/>
      <c r="I126" s="664" t="s">
        <v>2056</v>
      </c>
      <c r="J126" s="3019"/>
      <c r="K126" s="2998"/>
      <c r="L126" s="262" t="s">
        <v>1837</v>
      </c>
      <c r="M126" s="2987"/>
      <c r="N126" s="2916"/>
      <c r="O126" s="2916"/>
      <c r="P126" s="2916"/>
      <c r="Q126" s="2940"/>
      <c r="R126" s="2940"/>
      <c r="S126" s="2988"/>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4198</v>
      </c>
      <c r="H128" s="2945"/>
      <c r="I128" s="2946"/>
      <c r="J128" s="2947"/>
      <c r="K128" s="262" t="s">
        <v>1665</v>
      </c>
      <c r="L128" s="2945"/>
      <c r="M128" s="2989"/>
      <c r="N128" s="2990"/>
      <c r="O128" s="259" t="s">
        <v>3055</v>
      </c>
      <c r="P128" s="261"/>
      <c r="Q128" s="3008"/>
      <c r="R128" s="3009"/>
      <c r="S128" s="3010"/>
      <c r="Z128" s="1618">
        <v>128</v>
      </c>
    </row>
    <row r="129" spans="3:26" s="144" customFormat="1" ht="11.25" hidden="1" customHeight="1">
      <c r="C129" s="243"/>
      <c r="D129" s="260"/>
      <c r="E129" s="246" t="s">
        <v>4118</v>
      </c>
      <c r="F129" s="247"/>
      <c r="H129" s="3011"/>
      <c r="I129" s="3012"/>
      <c r="J129" s="3013"/>
      <c r="K129" s="3014"/>
      <c r="L129" s="3012"/>
      <c r="M129" s="3012"/>
      <c r="N129" s="3015"/>
      <c r="O129" s="259" t="s">
        <v>574</v>
      </c>
      <c r="P129" s="261"/>
      <c r="Q129" s="3016"/>
      <c r="R129" s="3017"/>
      <c r="S129" s="3018"/>
      <c r="Z129" s="1618">
        <v>129</v>
      </c>
    </row>
    <row r="130" spans="3:26" s="144" customFormat="1" ht="11.25" hidden="1" customHeight="1">
      <c r="C130" s="243"/>
      <c r="D130" s="260"/>
      <c r="E130" s="246" t="s">
        <v>1666</v>
      </c>
      <c r="H130" s="1198"/>
      <c r="I130" s="664" t="s">
        <v>2056</v>
      </c>
      <c r="J130" s="3019"/>
      <c r="K130" s="2998"/>
      <c r="L130" s="262" t="s">
        <v>1837</v>
      </c>
      <c r="M130" s="2987"/>
      <c r="N130" s="2916"/>
      <c r="O130" s="2916"/>
      <c r="P130" s="2916"/>
      <c r="Q130" s="2940"/>
      <c r="R130" s="2940"/>
      <c r="S130" s="2988"/>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4366</v>
      </c>
      <c r="H132" s="2945"/>
      <c r="I132" s="2946"/>
      <c r="J132" s="2947"/>
      <c r="K132" s="262" t="s">
        <v>1665</v>
      </c>
      <c r="L132" s="2945"/>
      <c r="M132" s="2989"/>
      <c r="N132" s="2990"/>
      <c r="O132" s="259" t="s">
        <v>3055</v>
      </c>
      <c r="P132" s="261"/>
      <c r="Q132" s="3008"/>
      <c r="R132" s="3009"/>
      <c r="S132" s="3010"/>
      <c r="Z132" s="1618">
        <v>132</v>
      </c>
    </row>
    <row r="133" spans="3:26" s="144" customFormat="1" ht="11.25" hidden="1" customHeight="1">
      <c r="C133" s="243"/>
      <c r="D133" s="260"/>
      <c r="E133" s="246" t="s">
        <v>4118</v>
      </c>
      <c r="F133" s="247"/>
      <c r="H133" s="3011"/>
      <c r="I133" s="3012"/>
      <c r="J133" s="3013"/>
      <c r="K133" s="3014"/>
      <c r="L133" s="3012"/>
      <c r="M133" s="3012"/>
      <c r="N133" s="3015"/>
      <c r="O133" s="259" t="s">
        <v>574</v>
      </c>
      <c r="P133" s="261"/>
      <c r="Q133" s="3016"/>
      <c r="R133" s="3017"/>
      <c r="S133" s="3018"/>
      <c r="Z133" s="1618">
        <v>133</v>
      </c>
    </row>
    <row r="134" spans="3:26" s="144" customFormat="1" ht="11.25" hidden="1" customHeight="1">
      <c r="C134" s="243"/>
      <c r="D134" s="260"/>
      <c r="E134" s="246" t="s">
        <v>1666</v>
      </c>
      <c r="H134" s="1198"/>
      <c r="I134" s="664" t="s">
        <v>2056</v>
      </c>
      <c r="J134" s="3019"/>
      <c r="K134" s="2998"/>
      <c r="L134" s="262" t="s">
        <v>1837</v>
      </c>
      <c r="M134" s="2987"/>
      <c r="N134" s="2916"/>
      <c r="O134" s="2916"/>
      <c r="P134" s="2916"/>
      <c r="Q134" s="2940"/>
      <c r="R134" s="2940"/>
      <c r="S134" s="2988"/>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4367</v>
      </c>
      <c r="H136" s="2945"/>
      <c r="I136" s="2946"/>
      <c r="J136" s="2947"/>
      <c r="K136" s="262" t="s">
        <v>1665</v>
      </c>
      <c r="L136" s="2945"/>
      <c r="M136" s="2989"/>
      <c r="N136" s="2990"/>
      <c r="O136" s="259" t="s">
        <v>3055</v>
      </c>
      <c r="P136" s="261"/>
      <c r="Q136" s="3008"/>
      <c r="R136" s="3009"/>
      <c r="S136" s="3010"/>
      <c r="Z136" s="1618">
        <v>136</v>
      </c>
    </row>
    <row r="137" spans="3:26" s="144" customFormat="1" ht="11.25" hidden="1" customHeight="1">
      <c r="C137" s="243"/>
      <c r="D137" s="260"/>
      <c r="E137" s="246" t="s">
        <v>4118</v>
      </c>
      <c r="F137" s="247"/>
      <c r="H137" s="3011"/>
      <c r="I137" s="3012"/>
      <c r="J137" s="3013"/>
      <c r="K137" s="3014"/>
      <c r="L137" s="3012"/>
      <c r="M137" s="3012"/>
      <c r="N137" s="3015"/>
      <c r="O137" s="259" t="s">
        <v>574</v>
      </c>
      <c r="P137" s="261"/>
      <c r="Q137" s="3016"/>
      <c r="R137" s="3017"/>
      <c r="S137" s="3018"/>
      <c r="Z137" s="1618">
        <v>137</v>
      </c>
    </row>
    <row r="138" spans="3:26" s="144" customFormat="1" ht="11.25" hidden="1" customHeight="1">
      <c r="C138" s="243"/>
      <c r="D138" s="260"/>
      <c r="E138" s="246" t="s">
        <v>1666</v>
      </c>
      <c r="H138" s="1198"/>
      <c r="I138" s="664" t="s">
        <v>2056</v>
      </c>
      <c r="J138" s="3019"/>
      <c r="K138" s="2998"/>
      <c r="L138" s="262" t="s">
        <v>1837</v>
      </c>
      <c r="M138" s="2987"/>
      <c r="N138" s="2916"/>
      <c r="O138" s="2916"/>
      <c r="P138" s="2916"/>
      <c r="Q138" s="2940"/>
      <c r="R138" s="2940"/>
      <c r="S138" s="2988"/>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4368</v>
      </c>
      <c r="H140" s="2945"/>
      <c r="I140" s="2946"/>
      <c r="J140" s="2947"/>
      <c r="K140" s="262" t="s">
        <v>1665</v>
      </c>
      <c r="L140" s="2945"/>
      <c r="M140" s="2989"/>
      <c r="N140" s="2990"/>
      <c r="O140" s="259" t="s">
        <v>3055</v>
      </c>
      <c r="P140" s="261"/>
      <c r="Q140" s="3008"/>
      <c r="R140" s="3009"/>
      <c r="S140" s="3010"/>
      <c r="Z140" s="1618">
        <v>140</v>
      </c>
    </row>
    <row r="141" spans="3:26" s="144" customFormat="1" ht="11.25" hidden="1" customHeight="1">
      <c r="C141" s="243"/>
      <c r="D141" s="260"/>
      <c r="E141" s="246" t="s">
        <v>4118</v>
      </c>
      <c r="F141" s="247"/>
      <c r="H141" s="3011"/>
      <c r="I141" s="3012"/>
      <c r="J141" s="3013"/>
      <c r="K141" s="3014"/>
      <c r="L141" s="3012"/>
      <c r="M141" s="3012"/>
      <c r="N141" s="3015"/>
      <c r="O141" s="259" t="s">
        <v>574</v>
      </c>
      <c r="P141" s="261"/>
      <c r="Q141" s="3016"/>
      <c r="R141" s="3017"/>
      <c r="S141" s="3018"/>
      <c r="Z141" s="1618">
        <v>141</v>
      </c>
    </row>
    <row r="142" spans="3:26" s="144" customFormat="1" ht="11.25" hidden="1" customHeight="1">
      <c r="C142" s="243"/>
      <c r="D142" s="260"/>
      <c r="E142" s="246" t="s">
        <v>1666</v>
      </c>
      <c r="H142" s="1198"/>
      <c r="I142" s="664" t="s">
        <v>2056</v>
      </c>
      <c r="J142" s="3019"/>
      <c r="K142" s="2998"/>
      <c r="L142" s="262" t="s">
        <v>1837</v>
      </c>
      <c r="M142" s="2987"/>
      <c r="N142" s="2916"/>
      <c r="O142" s="2916"/>
      <c r="P142" s="2916"/>
      <c r="Q142" s="2940"/>
      <c r="R142" s="2940"/>
      <c r="S142" s="2988"/>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4362</v>
      </c>
      <c r="H144" s="2945"/>
      <c r="I144" s="2946"/>
      <c r="J144" s="2947"/>
      <c r="K144" s="262" t="s">
        <v>1665</v>
      </c>
      <c r="L144" s="2945"/>
      <c r="M144" s="2989"/>
      <c r="N144" s="2990"/>
      <c r="O144" s="259" t="s">
        <v>3055</v>
      </c>
      <c r="P144" s="261"/>
      <c r="Q144" s="3008"/>
      <c r="R144" s="3009"/>
      <c r="S144" s="3010"/>
      <c r="Z144" s="1618">
        <v>144</v>
      </c>
    </row>
    <row r="145" spans="1:26" s="144" customFormat="1" ht="11.25" customHeight="1">
      <c r="C145" s="243"/>
      <c r="D145" s="260"/>
      <c r="E145" s="246" t="s">
        <v>4118</v>
      </c>
      <c r="F145" s="247"/>
      <c r="H145" s="3011"/>
      <c r="I145" s="3012"/>
      <c r="J145" s="3013"/>
      <c r="K145" s="3014"/>
      <c r="L145" s="3012"/>
      <c r="M145" s="3012"/>
      <c r="N145" s="3015"/>
      <c r="O145" s="259" t="s">
        <v>574</v>
      </c>
      <c r="P145" s="261"/>
      <c r="Q145" s="3016"/>
      <c r="R145" s="3017"/>
      <c r="S145" s="3018"/>
      <c r="Z145" s="1618">
        <v>145</v>
      </c>
    </row>
    <row r="146" spans="1:26" s="144" customFormat="1" ht="11.25" customHeight="1">
      <c r="C146" s="243"/>
      <c r="D146" s="260"/>
      <c r="E146" s="246" t="s">
        <v>1666</v>
      </c>
      <c r="H146" s="1198"/>
      <c r="I146" s="664" t="s">
        <v>2056</v>
      </c>
      <c r="J146" s="3019"/>
      <c r="K146" s="2998"/>
      <c r="L146" s="262" t="s">
        <v>1837</v>
      </c>
      <c r="M146" s="2987"/>
      <c r="N146" s="2916"/>
      <c r="O146" s="2916"/>
      <c r="P146" s="2916"/>
      <c r="Q146" s="2940"/>
      <c r="R146" s="2940"/>
      <c r="S146" s="2988"/>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4363</v>
      </c>
      <c r="H148" s="2945"/>
      <c r="I148" s="2946"/>
      <c r="J148" s="2947"/>
      <c r="K148" s="262" t="s">
        <v>1665</v>
      </c>
      <c r="L148" s="2945"/>
      <c r="M148" s="2989"/>
      <c r="N148" s="2990"/>
      <c r="O148" s="259" t="s">
        <v>3055</v>
      </c>
      <c r="P148" s="261"/>
      <c r="Q148" s="3008"/>
      <c r="R148" s="3009"/>
      <c r="S148" s="3010"/>
      <c r="Z148" s="1618">
        <v>148</v>
      </c>
    </row>
    <row r="149" spans="1:26" s="144" customFormat="1" ht="11.25" customHeight="1">
      <c r="D149" s="260"/>
      <c r="E149" s="246" t="s">
        <v>4118</v>
      </c>
      <c r="F149" s="247"/>
      <c r="H149" s="3011"/>
      <c r="I149" s="3012"/>
      <c r="J149" s="3013"/>
      <c r="K149" s="3014"/>
      <c r="L149" s="3012"/>
      <c r="M149" s="3012"/>
      <c r="N149" s="3015"/>
      <c r="O149" s="259" t="s">
        <v>574</v>
      </c>
      <c r="P149" s="261"/>
      <c r="Q149" s="3016"/>
      <c r="R149" s="3017"/>
      <c r="S149" s="3018"/>
      <c r="Z149" s="1618">
        <v>149</v>
      </c>
    </row>
    <row r="150" spans="1:26" s="144" customFormat="1" ht="11.25" customHeight="1">
      <c r="D150" s="260"/>
      <c r="E150" s="246" t="s">
        <v>1666</v>
      </c>
      <c r="H150" s="1198"/>
      <c r="I150" s="664" t="s">
        <v>2056</v>
      </c>
      <c r="J150" s="3019"/>
      <c r="K150" s="2998"/>
      <c r="L150" s="262" t="s">
        <v>1837</v>
      </c>
      <c r="M150" s="2987"/>
      <c r="N150" s="2916"/>
      <c r="O150" s="2916"/>
      <c r="P150" s="2916"/>
      <c r="Q150" s="2940"/>
      <c r="R150" s="2940"/>
      <c r="S150" s="2988"/>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3755</v>
      </c>
      <c r="H152" s="479"/>
      <c r="I152" s="479"/>
      <c r="J152" s="479"/>
      <c r="K152" s="479"/>
      <c r="L152" s="479"/>
      <c r="M152" s="479"/>
      <c r="N152" s="479"/>
      <c r="O152" s="479"/>
      <c r="P152" s="479"/>
      <c r="Q152" s="479"/>
      <c r="R152" s="479"/>
      <c r="S152" s="479"/>
      <c r="Z152" s="1618">
        <v>152</v>
      </c>
    </row>
    <row r="153" spans="1:26" ht="13.5" thickBot="1">
      <c r="A153" s="3079" t="s">
        <v>3211</v>
      </c>
      <c r="B153" s="3079"/>
      <c r="C153" s="3079"/>
      <c r="D153" s="3079"/>
      <c r="E153" s="3079"/>
      <c r="H153" s="1200" t="s">
        <v>2302</v>
      </c>
      <c r="I153" s="3073" t="s">
        <v>4410</v>
      </c>
      <c r="J153" s="3074"/>
      <c r="K153" s="3074"/>
      <c r="L153" s="3074"/>
      <c r="M153" s="3074"/>
      <c r="N153" s="3074"/>
      <c r="O153" s="3074"/>
      <c r="P153" s="3074"/>
      <c r="Q153" s="3074"/>
      <c r="R153" s="3074"/>
      <c r="S153" s="3075"/>
      <c r="Z153" s="1618">
        <v>153</v>
      </c>
    </row>
    <row r="154" spans="1:26" s="144" customFormat="1" ht="15" customHeight="1" thickBot="1">
      <c r="B154" s="475" t="s">
        <v>1839</v>
      </c>
      <c r="C154" s="256" t="s">
        <v>2513</v>
      </c>
      <c r="E154" s="256"/>
      <c r="H154" s="1157" t="s">
        <v>3713</v>
      </c>
      <c r="I154" s="2978"/>
      <c r="J154" s="2979"/>
      <c r="K154" s="2979"/>
      <c r="L154" s="2979"/>
      <c r="M154" s="2979"/>
      <c r="N154" s="2979"/>
      <c r="O154" s="2979"/>
      <c r="P154" s="2979"/>
      <c r="Q154" s="2979"/>
      <c r="R154" s="2979"/>
      <c r="S154" s="2980"/>
      <c r="U154" s="2909" t="s">
        <v>1878</v>
      </c>
      <c r="V154" s="2909"/>
      <c r="Z154" s="1618">
        <v>154</v>
      </c>
    </row>
    <row r="155" spans="1:26" s="144" customFormat="1" ht="15" customHeight="1" thickBot="1">
      <c r="B155" s="475" t="s">
        <v>1841</v>
      </c>
      <c r="C155" s="256" t="s">
        <v>4116</v>
      </c>
      <c r="E155" s="256"/>
      <c r="H155" s="1157" t="s">
        <v>3713</v>
      </c>
      <c r="I155" s="2975"/>
      <c r="J155" s="2976"/>
      <c r="K155" s="2976"/>
      <c r="L155" s="2976"/>
      <c r="M155" s="2976"/>
      <c r="N155" s="2976"/>
      <c r="O155" s="2976"/>
      <c r="P155" s="2976"/>
      <c r="Q155" s="2976"/>
      <c r="R155" s="2976"/>
      <c r="S155" s="2977"/>
      <c r="U155" s="2909"/>
      <c r="V155" s="2909"/>
      <c r="Z155" s="1618">
        <v>155</v>
      </c>
    </row>
    <row r="156" spans="1:26" s="144" customFormat="1" ht="15" customHeight="1" thickBot="1">
      <c r="B156" s="475" t="s">
        <v>2326</v>
      </c>
      <c r="C156" s="256" t="s">
        <v>2549</v>
      </c>
      <c r="E156" s="256"/>
      <c r="H156" s="1157" t="s">
        <v>3713</v>
      </c>
      <c r="I156" s="2975"/>
      <c r="J156" s="2976"/>
      <c r="K156" s="2976"/>
      <c r="L156" s="2976"/>
      <c r="M156" s="2976"/>
      <c r="N156" s="2976"/>
      <c r="O156" s="2976"/>
      <c r="P156" s="2976"/>
      <c r="Q156" s="2976"/>
      <c r="R156" s="2976"/>
      <c r="S156" s="2977"/>
      <c r="U156" s="2909"/>
      <c r="V156" s="2909"/>
      <c r="Z156" s="1618">
        <v>156</v>
      </c>
    </row>
    <row r="157" spans="1:26" s="144" customFormat="1" ht="15" customHeight="1" thickBot="1">
      <c r="B157" s="475" t="s">
        <v>1149</v>
      </c>
      <c r="C157" s="256" t="s">
        <v>2514</v>
      </c>
      <c r="E157" s="256"/>
      <c r="H157" s="1157" t="s">
        <v>3713</v>
      </c>
      <c r="I157" s="2975"/>
      <c r="J157" s="2976"/>
      <c r="K157" s="2976"/>
      <c r="L157" s="2976"/>
      <c r="M157" s="2976"/>
      <c r="N157" s="2976"/>
      <c r="O157" s="2976"/>
      <c r="P157" s="2976"/>
      <c r="Q157" s="2976"/>
      <c r="R157" s="2976"/>
      <c r="S157" s="2977"/>
      <c r="U157" s="2909"/>
      <c r="V157" s="2909"/>
      <c r="Z157" s="1618">
        <v>157</v>
      </c>
    </row>
    <row r="158" spans="1:26" s="144" customFormat="1" ht="15" customHeight="1" thickBot="1">
      <c r="B158" s="475" t="s">
        <v>1150</v>
      </c>
      <c r="C158" s="256" t="s">
        <v>2990</v>
      </c>
      <c r="E158" s="256"/>
      <c r="H158" s="1157" t="s">
        <v>3713</v>
      </c>
      <c r="I158" s="2975"/>
      <c r="J158" s="2976"/>
      <c r="K158" s="2976"/>
      <c r="L158" s="2976"/>
      <c r="M158" s="2976"/>
      <c r="N158" s="2976"/>
      <c r="O158" s="2976"/>
      <c r="P158" s="2976"/>
      <c r="Q158" s="2976"/>
      <c r="R158" s="2976"/>
      <c r="S158" s="2977"/>
      <c r="U158" s="2909"/>
      <c r="V158" s="2909"/>
      <c r="Z158" s="1618">
        <v>158</v>
      </c>
    </row>
    <row r="159" spans="1:26" s="144" customFormat="1" ht="15" customHeight="1" thickBot="1">
      <c r="B159" s="475" t="s">
        <v>1737</v>
      </c>
      <c r="C159" s="256" t="s">
        <v>2991</v>
      </c>
      <c r="E159" s="256"/>
      <c r="H159" s="1157" t="s">
        <v>3713</v>
      </c>
      <c r="I159" s="2975"/>
      <c r="J159" s="2976"/>
      <c r="K159" s="2976"/>
      <c r="L159" s="2976"/>
      <c r="M159" s="2976"/>
      <c r="N159" s="2976"/>
      <c r="O159" s="2976"/>
      <c r="P159" s="2976"/>
      <c r="Q159" s="2976"/>
      <c r="R159" s="2976"/>
      <c r="S159" s="2977"/>
      <c r="U159" s="2909"/>
      <c r="V159" s="2909"/>
      <c r="Z159" s="1618">
        <v>159</v>
      </c>
    </row>
    <row r="160" spans="1:26" s="144" customFormat="1" ht="15" customHeight="1" thickBot="1">
      <c r="B160" s="475" t="s">
        <v>472</v>
      </c>
      <c r="C160" s="256" t="s">
        <v>2515</v>
      </c>
      <c r="E160" s="256"/>
      <c r="H160" s="1157" t="s">
        <v>3713</v>
      </c>
      <c r="I160" s="2975"/>
      <c r="J160" s="2976"/>
      <c r="K160" s="2976"/>
      <c r="L160" s="2976"/>
      <c r="M160" s="2976"/>
      <c r="N160" s="2976"/>
      <c r="O160" s="2976"/>
      <c r="P160" s="2976"/>
      <c r="Q160" s="2976"/>
      <c r="R160" s="2976"/>
      <c r="S160" s="2977"/>
      <c r="Z160" s="1618">
        <v>160</v>
      </c>
    </row>
    <row r="161" spans="1:26" s="144" customFormat="1" ht="15" customHeight="1" thickBot="1">
      <c r="B161" s="475" t="s">
        <v>473</v>
      </c>
      <c r="C161" s="256" t="s">
        <v>3764</v>
      </c>
      <c r="E161" s="256"/>
      <c r="H161" s="1157" t="s">
        <v>3713</v>
      </c>
      <c r="I161" s="2975"/>
      <c r="J161" s="2976"/>
      <c r="K161" s="2976"/>
      <c r="L161" s="2976"/>
      <c r="M161" s="2976"/>
      <c r="N161" s="2976"/>
      <c r="O161" s="2976"/>
      <c r="P161" s="2976"/>
      <c r="Q161" s="2976"/>
      <c r="R161" s="2976"/>
      <c r="S161" s="2977"/>
      <c r="Z161" s="1618">
        <v>161</v>
      </c>
    </row>
    <row r="162" spans="1:26" s="144" customFormat="1" ht="15" customHeight="1" thickBot="1">
      <c r="B162" s="475" t="s">
        <v>3763</v>
      </c>
      <c r="C162" s="3076" t="s">
        <v>4369</v>
      </c>
      <c r="D162" s="3077"/>
      <c r="E162" s="3077"/>
      <c r="F162" s="3077"/>
      <c r="G162" s="3078"/>
      <c r="H162" s="1157" t="s">
        <v>3713</v>
      </c>
      <c r="I162" s="2972"/>
      <c r="J162" s="2973"/>
      <c r="K162" s="2973"/>
      <c r="L162" s="2973"/>
      <c r="M162" s="2973"/>
      <c r="N162" s="2973"/>
      <c r="O162" s="2973"/>
      <c r="P162" s="2973"/>
      <c r="Q162" s="2973"/>
      <c r="R162" s="2973"/>
      <c r="S162" s="2974"/>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3756</v>
      </c>
      <c r="Z165" s="1618">
        <v>165</v>
      </c>
    </row>
    <row r="166" spans="1:26" s="144" customFormat="1" ht="12.75" customHeight="1">
      <c r="A166" s="3041" t="s">
        <v>593</v>
      </c>
      <c r="B166" s="3042"/>
      <c r="C166" s="3042"/>
      <c r="D166" s="3042"/>
      <c r="E166" s="3047" t="s">
        <v>2979</v>
      </c>
      <c r="F166" s="3048"/>
      <c r="G166" s="3048"/>
      <c r="H166" s="3048"/>
      <c r="I166" s="3049"/>
      <c r="J166" s="3053" t="s">
        <v>2980</v>
      </c>
      <c r="K166" s="3056" t="s">
        <v>2571</v>
      </c>
      <c r="L166" s="3056" t="s">
        <v>2572</v>
      </c>
      <c r="M166" s="3059" t="s">
        <v>4370</v>
      </c>
      <c r="N166" s="3060"/>
      <c r="O166" s="3060"/>
      <c r="P166" s="3060"/>
      <c r="Q166" s="3060"/>
      <c r="R166" s="3060"/>
      <c r="S166" s="3061"/>
      <c r="Z166" s="1618">
        <v>166</v>
      </c>
    </row>
    <row r="167" spans="1:26" s="144" customFormat="1" ht="12.75" customHeight="1">
      <c r="A167" s="3043"/>
      <c r="B167" s="3044"/>
      <c r="C167" s="3044"/>
      <c r="D167" s="3044"/>
      <c r="E167" s="3050"/>
      <c r="F167" s="3051"/>
      <c r="G167" s="3051"/>
      <c r="H167" s="3051"/>
      <c r="I167" s="3052"/>
      <c r="J167" s="3054"/>
      <c r="K167" s="3057"/>
      <c r="L167" s="3057"/>
      <c r="M167" s="3062"/>
      <c r="N167" s="3063"/>
      <c r="O167" s="3063"/>
      <c r="P167" s="3063"/>
      <c r="Q167" s="3063"/>
      <c r="R167" s="3063"/>
      <c r="S167" s="3064"/>
      <c r="Z167" s="1618">
        <v>167</v>
      </c>
    </row>
    <row r="168" spans="1:26" s="144" customFormat="1" ht="12.75" customHeight="1">
      <c r="A168" s="3043"/>
      <c r="B168" s="3044"/>
      <c r="C168" s="3044"/>
      <c r="D168" s="3044"/>
      <c r="E168" s="3050"/>
      <c r="F168" s="3051"/>
      <c r="G168" s="3051"/>
      <c r="H168" s="3051"/>
      <c r="I168" s="3052"/>
      <c r="J168" s="3054"/>
      <c r="K168" s="3057"/>
      <c r="L168" s="3057"/>
      <c r="M168" s="3062"/>
      <c r="N168" s="3063"/>
      <c r="O168" s="3063"/>
      <c r="P168" s="3063"/>
      <c r="Q168" s="3063"/>
      <c r="R168" s="3063"/>
      <c r="S168" s="3064"/>
      <c r="Z168" s="1618">
        <v>168</v>
      </c>
    </row>
    <row r="169" spans="1:26" s="144" customFormat="1" ht="12.75" customHeight="1">
      <c r="A169" s="3043"/>
      <c r="B169" s="3044"/>
      <c r="C169" s="3044"/>
      <c r="D169" s="3044"/>
      <c r="E169" s="3065" t="s">
        <v>3132</v>
      </c>
      <c r="F169" s="3066"/>
      <c r="G169" s="3066"/>
      <c r="H169" s="3067"/>
      <c r="I169" s="480"/>
      <c r="J169" s="3054"/>
      <c r="K169" s="3057"/>
      <c r="L169" s="3057"/>
      <c r="M169" s="3062"/>
      <c r="N169" s="3063"/>
      <c r="O169" s="3063"/>
      <c r="P169" s="3063"/>
      <c r="Q169" s="3063"/>
      <c r="R169" s="3063"/>
      <c r="S169" s="3064"/>
      <c r="Z169" s="1618">
        <v>169</v>
      </c>
    </row>
    <row r="170" spans="1:26" s="144" customFormat="1" ht="13.5" customHeight="1">
      <c r="A170" s="3045"/>
      <c r="B170" s="3046"/>
      <c r="C170" s="3046"/>
      <c r="D170" s="3046"/>
      <c r="E170" s="3068"/>
      <c r="F170" s="3069"/>
      <c r="G170" s="3069"/>
      <c r="H170" s="3070"/>
      <c r="I170" s="1158" t="s">
        <v>2302</v>
      </c>
      <c r="J170" s="3055"/>
      <c r="K170" s="3058"/>
      <c r="L170" s="3057"/>
      <c r="M170" s="1159" t="s">
        <v>2302</v>
      </c>
      <c r="N170" s="3071" t="s">
        <v>2570</v>
      </c>
      <c r="O170" s="3071"/>
      <c r="P170" s="3071"/>
      <c r="Q170" s="3071"/>
      <c r="R170" s="3071"/>
      <c r="S170" s="3072"/>
      <c r="Z170" s="1618">
        <v>170</v>
      </c>
    </row>
    <row r="171" spans="1:26" s="144" customFormat="1" ht="23.25" customHeight="1">
      <c r="A171" s="3036" t="s">
        <v>2974</v>
      </c>
      <c r="B171" s="3037"/>
      <c r="C171" s="3037"/>
      <c r="D171" s="3038"/>
      <c r="E171" s="3039"/>
      <c r="F171" s="2979"/>
      <c r="G171" s="2979"/>
      <c r="H171" s="2979"/>
      <c r="I171" s="634" t="s">
        <v>3713</v>
      </c>
      <c r="J171" s="476" t="s">
        <v>3713</v>
      </c>
      <c r="K171" s="476"/>
      <c r="L171" s="637"/>
      <c r="M171" s="481" t="s">
        <v>3713</v>
      </c>
      <c r="N171" s="3040"/>
      <c r="O171" s="2979"/>
      <c r="P171" s="2979"/>
      <c r="Q171" s="2979"/>
      <c r="R171" s="2979"/>
      <c r="S171" s="2980"/>
      <c r="Z171" s="1618">
        <v>171</v>
      </c>
    </row>
    <row r="172" spans="1:26" s="144" customFormat="1" ht="23.25" customHeight="1">
      <c r="A172" s="3031" t="s">
        <v>2975</v>
      </c>
      <c r="B172" s="3032"/>
      <c r="C172" s="3032"/>
      <c r="D172" s="3033"/>
      <c r="E172" s="3034"/>
      <c r="F172" s="2976"/>
      <c r="G172" s="2976"/>
      <c r="H172" s="2976"/>
      <c r="I172" s="635" t="s">
        <v>3713</v>
      </c>
      <c r="J172" s="477" t="s">
        <v>3713</v>
      </c>
      <c r="K172" s="477"/>
      <c r="L172" s="638"/>
      <c r="M172" s="482" t="s">
        <v>3713</v>
      </c>
      <c r="N172" s="3035"/>
      <c r="O172" s="2976"/>
      <c r="P172" s="2976"/>
      <c r="Q172" s="2976"/>
      <c r="R172" s="2976"/>
      <c r="S172" s="2977"/>
      <c r="U172" s="2909" t="s">
        <v>1878</v>
      </c>
      <c r="V172" s="2909"/>
      <c r="Z172" s="1618">
        <v>172</v>
      </c>
    </row>
    <row r="173" spans="1:26" s="144" customFormat="1" ht="23.25" customHeight="1">
      <c r="A173" s="3031" t="s">
        <v>2976</v>
      </c>
      <c r="B173" s="3032"/>
      <c r="C173" s="3032"/>
      <c r="D173" s="3033"/>
      <c r="E173" s="3034"/>
      <c r="F173" s="2976"/>
      <c r="G173" s="2976"/>
      <c r="H173" s="2976"/>
      <c r="I173" s="635" t="s">
        <v>3713</v>
      </c>
      <c r="J173" s="477" t="s">
        <v>3713</v>
      </c>
      <c r="K173" s="477"/>
      <c r="L173" s="638"/>
      <c r="M173" s="482" t="s">
        <v>3713</v>
      </c>
      <c r="N173" s="3035"/>
      <c r="O173" s="2976"/>
      <c r="P173" s="2976"/>
      <c r="Q173" s="2976"/>
      <c r="R173" s="2976"/>
      <c r="S173" s="2977"/>
      <c r="U173" s="2909"/>
      <c r="V173" s="2909"/>
      <c r="Z173" s="1618">
        <v>173</v>
      </c>
    </row>
    <row r="174" spans="1:26" s="144" customFormat="1" ht="23.25" customHeight="1">
      <c r="A174" s="3031" t="s">
        <v>2977</v>
      </c>
      <c r="B174" s="3032"/>
      <c r="C174" s="3032"/>
      <c r="D174" s="3033"/>
      <c r="E174" s="3034"/>
      <c r="F174" s="2976"/>
      <c r="G174" s="2976"/>
      <c r="H174" s="2976"/>
      <c r="I174" s="635" t="s">
        <v>3713</v>
      </c>
      <c r="J174" s="477" t="s">
        <v>3713</v>
      </c>
      <c r="K174" s="477"/>
      <c r="L174" s="638"/>
      <c r="M174" s="482" t="s">
        <v>3713</v>
      </c>
      <c r="N174" s="3035"/>
      <c r="O174" s="2976"/>
      <c r="P174" s="2976"/>
      <c r="Q174" s="2976"/>
      <c r="R174" s="2976"/>
      <c r="S174" s="2977"/>
      <c r="U174" s="2909"/>
      <c r="V174" s="2909"/>
      <c r="Z174" s="1618">
        <v>174</v>
      </c>
    </row>
    <row r="175" spans="1:26" s="144" customFormat="1" ht="23.25" customHeight="1">
      <c r="A175" s="3031" t="s">
        <v>2978</v>
      </c>
      <c r="B175" s="3032"/>
      <c r="C175" s="3032"/>
      <c r="D175" s="3033"/>
      <c r="E175" s="3034"/>
      <c r="F175" s="2976"/>
      <c r="G175" s="2976"/>
      <c r="H175" s="2976"/>
      <c r="I175" s="635" t="s">
        <v>3713</v>
      </c>
      <c r="J175" s="477" t="s">
        <v>3713</v>
      </c>
      <c r="K175" s="477"/>
      <c r="L175" s="638"/>
      <c r="M175" s="482" t="s">
        <v>3713</v>
      </c>
      <c r="N175" s="3035"/>
      <c r="O175" s="2976"/>
      <c r="P175" s="2976"/>
      <c r="Q175" s="2976"/>
      <c r="R175" s="2976"/>
      <c r="S175" s="2977"/>
      <c r="U175" s="2909"/>
      <c r="V175" s="2909"/>
      <c r="Z175" s="1618">
        <v>175</v>
      </c>
    </row>
    <row r="176" spans="1:26" s="144" customFormat="1" ht="23.25" customHeight="1">
      <c r="A176" s="3031" t="s">
        <v>2561</v>
      </c>
      <c r="B176" s="3032"/>
      <c r="C176" s="3032"/>
      <c r="D176" s="3033"/>
      <c r="E176" s="3034"/>
      <c r="F176" s="2976"/>
      <c r="G176" s="2976"/>
      <c r="H176" s="2976"/>
      <c r="I176" s="635" t="s">
        <v>3713</v>
      </c>
      <c r="J176" s="477" t="s">
        <v>3713</v>
      </c>
      <c r="K176" s="477"/>
      <c r="L176" s="638"/>
      <c r="M176" s="482" t="s">
        <v>3713</v>
      </c>
      <c r="N176" s="3035"/>
      <c r="O176" s="2976"/>
      <c r="P176" s="2976"/>
      <c r="Q176" s="2976"/>
      <c r="R176" s="2976"/>
      <c r="S176" s="2977"/>
      <c r="U176" s="2909"/>
      <c r="V176" s="2909"/>
      <c r="Z176" s="1618">
        <v>176</v>
      </c>
    </row>
    <row r="177" spans="1:26" s="144" customFormat="1" ht="23.25" customHeight="1">
      <c r="A177" s="3031" t="s">
        <v>606</v>
      </c>
      <c r="B177" s="3032"/>
      <c r="C177" s="3032"/>
      <c r="D177" s="3033"/>
      <c r="E177" s="3034"/>
      <c r="F177" s="2976"/>
      <c r="G177" s="2976"/>
      <c r="H177" s="2976"/>
      <c r="I177" s="635" t="s">
        <v>3713</v>
      </c>
      <c r="J177" s="477" t="s">
        <v>3713</v>
      </c>
      <c r="K177" s="477"/>
      <c r="L177" s="638"/>
      <c r="M177" s="482" t="s">
        <v>3713</v>
      </c>
      <c r="N177" s="3035"/>
      <c r="O177" s="2976"/>
      <c r="P177" s="2976"/>
      <c r="Q177" s="2976"/>
      <c r="R177" s="2976"/>
      <c r="S177" s="2977"/>
      <c r="U177" s="2909"/>
      <c r="V177" s="2909"/>
      <c r="Z177" s="1618">
        <v>177</v>
      </c>
    </row>
    <row r="178" spans="1:26" s="144" customFormat="1" ht="23.25" customHeight="1">
      <c r="A178" s="3031" t="s">
        <v>2562</v>
      </c>
      <c r="B178" s="3032"/>
      <c r="C178" s="3032"/>
      <c r="D178" s="3033"/>
      <c r="E178" s="3034"/>
      <c r="F178" s="2976"/>
      <c r="G178" s="2976"/>
      <c r="H178" s="2976"/>
      <c r="I178" s="635" t="s">
        <v>3713</v>
      </c>
      <c r="J178" s="477" t="s">
        <v>3713</v>
      </c>
      <c r="K178" s="477"/>
      <c r="L178" s="638"/>
      <c r="M178" s="482" t="s">
        <v>3713</v>
      </c>
      <c r="N178" s="3035"/>
      <c r="O178" s="2976"/>
      <c r="P178" s="2976"/>
      <c r="Q178" s="2976"/>
      <c r="R178" s="2976"/>
      <c r="S178" s="2977"/>
      <c r="Z178" s="1618">
        <v>178</v>
      </c>
    </row>
    <row r="179" spans="1:26" s="144" customFormat="1" ht="23.25" customHeight="1">
      <c r="A179" s="3031" t="s">
        <v>2563</v>
      </c>
      <c r="B179" s="3032"/>
      <c r="C179" s="3032"/>
      <c r="D179" s="3033"/>
      <c r="E179" s="3034"/>
      <c r="F179" s="2976"/>
      <c r="G179" s="2976"/>
      <c r="H179" s="2976"/>
      <c r="I179" s="635" t="s">
        <v>3713</v>
      </c>
      <c r="J179" s="477" t="s">
        <v>3713</v>
      </c>
      <c r="K179" s="477"/>
      <c r="L179" s="638"/>
      <c r="M179" s="482" t="s">
        <v>3713</v>
      </c>
      <c r="N179" s="3035"/>
      <c r="O179" s="2976"/>
      <c r="P179" s="2976"/>
      <c r="Q179" s="2976"/>
      <c r="R179" s="2976"/>
      <c r="S179" s="2977"/>
      <c r="Z179" s="1618">
        <v>179</v>
      </c>
    </row>
    <row r="180" spans="1:26" s="144" customFormat="1" ht="23.25" customHeight="1">
      <c r="A180" s="3031" t="s">
        <v>2565</v>
      </c>
      <c r="B180" s="3032"/>
      <c r="C180" s="3032"/>
      <c r="D180" s="3033"/>
      <c r="E180" s="3034"/>
      <c r="F180" s="2976"/>
      <c r="G180" s="2976"/>
      <c r="H180" s="2976"/>
      <c r="I180" s="635" t="s">
        <v>3713</v>
      </c>
      <c r="J180" s="477" t="s">
        <v>3713</v>
      </c>
      <c r="K180" s="477"/>
      <c r="L180" s="638"/>
      <c r="M180" s="482" t="s">
        <v>3713</v>
      </c>
      <c r="N180" s="3035"/>
      <c r="O180" s="2976"/>
      <c r="P180" s="2976"/>
      <c r="Q180" s="2976"/>
      <c r="R180" s="2976"/>
      <c r="S180" s="2977"/>
      <c r="Z180" s="1618">
        <v>180</v>
      </c>
    </row>
    <row r="181" spans="1:26" s="144" customFormat="1" ht="23.25" customHeight="1">
      <c r="A181" s="3031" t="s">
        <v>2564</v>
      </c>
      <c r="B181" s="3032"/>
      <c r="C181" s="3032"/>
      <c r="D181" s="3033"/>
      <c r="E181" s="3034"/>
      <c r="F181" s="2976"/>
      <c r="G181" s="2976"/>
      <c r="H181" s="2976"/>
      <c r="I181" s="635" t="s">
        <v>3713</v>
      </c>
      <c r="J181" s="477" t="s">
        <v>3713</v>
      </c>
      <c r="K181" s="477"/>
      <c r="L181" s="638"/>
      <c r="M181" s="482" t="s">
        <v>3713</v>
      </c>
      <c r="N181" s="3035"/>
      <c r="O181" s="2976"/>
      <c r="P181" s="2976"/>
      <c r="Q181" s="2976"/>
      <c r="R181" s="2976"/>
      <c r="S181" s="2977"/>
      <c r="Z181" s="1618">
        <v>181</v>
      </c>
    </row>
    <row r="182" spans="1:26" s="144" customFormat="1" ht="23.25" customHeight="1">
      <c r="A182" s="3031" t="s">
        <v>1429</v>
      </c>
      <c r="B182" s="3032"/>
      <c r="C182" s="3032"/>
      <c r="D182" s="3033"/>
      <c r="E182" s="3034"/>
      <c r="F182" s="2976"/>
      <c r="G182" s="2976"/>
      <c r="H182" s="2976"/>
      <c r="I182" s="635" t="s">
        <v>3713</v>
      </c>
      <c r="J182" s="477" t="s">
        <v>3713</v>
      </c>
      <c r="K182" s="477"/>
      <c r="L182" s="638"/>
      <c r="M182" s="482" t="s">
        <v>3713</v>
      </c>
      <c r="N182" s="3035"/>
      <c r="O182" s="2976"/>
      <c r="P182" s="2976"/>
      <c r="Q182" s="2976"/>
      <c r="R182" s="2976"/>
      <c r="S182" s="2977"/>
      <c r="Z182" s="1618">
        <v>182</v>
      </c>
    </row>
    <row r="183" spans="1:26" s="144" customFormat="1" ht="23.25" customHeight="1">
      <c r="A183" s="3020" t="s">
        <v>2566</v>
      </c>
      <c r="B183" s="3021"/>
      <c r="C183" s="3021"/>
      <c r="D183" s="3022"/>
      <c r="E183" s="3023"/>
      <c r="F183" s="2973"/>
      <c r="G183" s="2973"/>
      <c r="H183" s="2973"/>
      <c r="I183" s="636" t="s">
        <v>3713</v>
      </c>
      <c r="J183" s="478" t="s">
        <v>3713</v>
      </c>
      <c r="K183" s="478"/>
      <c r="L183" s="639"/>
      <c r="M183" s="483" t="s">
        <v>3713</v>
      </c>
      <c r="N183" s="3024"/>
      <c r="O183" s="2973"/>
      <c r="P183" s="2973"/>
      <c r="Q183" s="2973"/>
      <c r="R183" s="2973"/>
      <c r="S183" s="2974"/>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5"/>
      <c r="B186" s="3026"/>
      <c r="C186" s="3026"/>
      <c r="D186" s="3026"/>
      <c r="E186" s="3026"/>
      <c r="F186" s="3026"/>
      <c r="G186" s="3026"/>
      <c r="H186" s="3026"/>
      <c r="I186" s="3026"/>
      <c r="J186" s="3026"/>
      <c r="K186" s="3026"/>
      <c r="L186" s="3026"/>
      <c r="M186" s="3027"/>
      <c r="N186" s="3028"/>
      <c r="O186" s="3029"/>
      <c r="P186" s="3029"/>
      <c r="Q186" s="3029"/>
      <c r="R186" s="3029"/>
      <c r="S186" s="3030"/>
      <c r="T186" s="2909" t="s">
        <v>2445</v>
      </c>
      <c r="U186" s="2909"/>
      <c r="V186" s="2909"/>
      <c r="W186" s="2909"/>
      <c r="X186" s="2909"/>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9"/>
      <c r="U187" s="2909"/>
      <c r="V187" s="2909"/>
      <c r="W187" s="2909"/>
      <c r="X187" s="2909"/>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Wesley Square</v>
      </c>
    </row>
    <row r="2" spans="1:14">
      <c r="A2" s="549" t="s">
        <v>2873</v>
      </c>
      <c r="H2" s="431" t="str">
        <f>'Sensitivity Analysis'!E8</f>
        <v>2024-0</v>
      </c>
    </row>
    <row r="3" spans="1:14" ht="3" customHeight="1"/>
    <row r="4" spans="1:14" ht="69.599999999999994" customHeight="1">
      <c r="A4" s="4733" t="s">
        <v>2911</v>
      </c>
      <c r="B4" s="4733"/>
      <c r="C4" s="4733"/>
      <c r="D4" s="4733"/>
      <c r="E4" s="4733"/>
      <c r="F4" s="4733"/>
      <c r="G4" s="4733"/>
      <c r="H4" s="4733"/>
      <c r="I4" s="4733"/>
      <c r="J4" s="4733"/>
      <c r="K4" s="4733"/>
      <c r="L4" s="4775">
        <f>SUM('Part VI-Pro Forma'!B15:B17)/12</f>
        <v>72666.554399999994</v>
      </c>
      <c r="M4" s="4775"/>
      <c r="N4" s="1408" t="s">
        <v>3542</v>
      </c>
    </row>
    <row r="5" spans="1:14" ht="1.5" customHeight="1"/>
    <row r="6" spans="1:14" ht="12.75" customHeight="1">
      <c r="B6" s="623" t="s">
        <v>2234</v>
      </c>
      <c r="C6" s="605" t="s">
        <v>2874</v>
      </c>
      <c r="D6" s="605"/>
      <c r="E6" s="605"/>
      <c r="F6" s="605"/>
      <c r="G6" s="605"/>
      <c r="H6" s="605"/>
    </row>
    <row r="7" spans="1:14" ht="12.75" customHeight="1">
      <c r="B7" s="623" t="s">
        <v>2235</v>
      </c>
      <c r="C7" s="4733" t="s">
        <v>2875</v>
      </c>
      <c r="D7" s="4733"/>
      <c r="E7" s="4733"/>
      <c r="F7" s="4733"/>
      <c r="G7" s="4733"/>
      <c r="H7" s="4733"/>
      <c r="I7" s="4733"/>
      <c r="J7" s="4733"/>
      <c r="K7" s="4733"/>
      <c r="L7" s="4733"/>
      <c r="M7" s="4733"/>
    </row>
    <row r="8" spans="1:14" ht="3" customHeight="1"/>
    <row r="9" spans="1:14">
      <c r="A9" s="431" t="s">
        <v>2876</v>
      </c>
    </row>
    <row r="10" spans="1:14" ht="1.5" customHeight="1"/>
    <row r="11" spans="1:14" ht="26.25" customHeight="1">
      <c r="A11" s="624" t="s">
        <v>1836</v>
      </c>
      <c r="B11" s="4733" t="s">
        <v>2908</v>
      </c>
      <c r="C11" s="4733"/>
      <c r="D11" s="4733"/>
      <c r="E11" s="4733"/>
      <c r="F11" s="4733"/>
      <c r="G11" s="4733"/>
      <c r="H11" s="4733"/>
      <c r="I11" s="4733"/>
      <c r="J11" s="4733"/>
      <c r="K11" s="4733"/>
      <c r="L11" s="4734">
        <f ca="1">'Part II-Sources of Funds'!I51+'Part II-Sources of Funds'!I52</f>
        <v>18590000</v>
      </c>
      <c r="M11" s="4734"/>
    </row>
    <row r="12" spans="1:14" ht="1.5" customHeight="1">
      <c r="G12" s="605"/>
      <c r="H12" s="605"/>
    </row>
    <row r="13" spans="1:14" ht="25.9" customHeight="1">
      <c r="A13" s="624" t="s">
        <v>1838</v>
      </c>
      <c r="B13" s="4733" t="s">
        <v>2909</v>
      </c>
      <c r="C13" s="4733"/>
      <c r="D13" s="4733"/>
      <c r="E13" s="4733"/>
      <c r="F13" s="4733"/>
      <c r="G13" s="4733"/>
      <c r="H13" s="4733"/>
      <c r="I13" s="4733"/>
      <c r="J13" s="4733"/>
      <c r="K13" s="4733"/>
      <c r="L13" s="4735" t="s">
        <v>2804</v>
      </c>
      <c r="M13" s="4735"/>
    </row>
    <row r="14" spans="1:14">
      <c r="A14" s="624"/>
      <c r="B14" s="4690"/>
      <c r="C14" s="4690"/>
      <c r="D14" s="4690"/>
      <c r="E14" s="4690"/>
      <c r="F14" s="4690"/>
      <c r="G14" s="4690"/>
      <c r="H14" s="4690"/>
    </row>
    <row r="15" spans="1:14" ht="3" customHeight="1"/>
    <row r="16" spans="1:14">
      <c r="A16" s="624" t="s">
        <v>697</v>
      </c>
      <c r="B16" s="431" t="s">
        <v>2912</v>
      </c>
      <c r="L16" s="4736" t="s">
        <v>2644</v>
      </c>
      <c r="M16" s="4736"/>
    </row>
    <row r="17" spans="1:19" ht="1.5" customHeight="1">
      <c r="L17" s="608"/>
    </row>
    <row r="18" spans="1:19" ht="12" customHeight="1">
      <c r="A18" s="624" t="s">
        <v>1957</v>
      </c>
      <c r="B18" s="605" t="s">
        <v>2910</v>
      </c>
      <c r="C18" s="624"/>
      <c r="D18" s="624"/>
      <c r="E18" s="624"/>
      <c r="L18" s="4690" t="s">
        <v>2507</v>
      </c>
      <c r="M18" s="4690"/>
    </row>
    <row r="19" spans="1:19" ht="12" hidden="1" customHeight="1">
      <c r="B19" s="4690"/>
      <c r="C19" s="4690"/>
      <c r="D19" s="4690"/>
      <c r="E19" s="4690"/>
      <c r="F19" s="4690"/>
      <c r="G19" s="4690"/>
      <c r="H19" s="4690"/>
    </row>
    <row r="20" spans="1:19" ht="13.5" customHeight="1"/>
    <row r="21" spans="1:19" ht="12" customHeight="1">
      <c r="A21" s="549" t="s">
        <v>2877</v>
      </c>
    </row>
    <row r="22" spans="1:19" ht="3" customHeight="1"/>
    <row r="23" spans="1:19" ht="42.6" customHeight="1">
      <c r="A23" s="4737" t="s">
        <v>3948</v>
      </c>
      <c r="B23" s="4737"/>
      <c r="C23" s="4737"/>
      <c r="D23" s="4737"/>
      <c r="E23" s="4737"/>
      <c r="F23" s="4737"/>
      <c r="G23" s="4737"/>
      <c r="H23" s="4737"/>
      <c r="I23" s="4737"/>
      <c r="J23" s="4737"/>
      <c r="K23" s="4737"/>
      <c r="L23" s="4737"/>
      <c r="M23" s="4737"/>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0</v>
      </c>
      <c r="G27" s="1499">
        <f>'Part V-Revenues &amp; Expenses'!M58</f>
        <v>0</v>
      </c>
      <c r="H27" s="1499">
        <f>'Part V-Revenues &amp; Expenses'!N58</f>
        <v>0</v>
      </c>
      <c r="I27" s="1499">
        <f>'Part V-Revenues &amp; Expenses'!O58</f>
        <v>0</v>
      </c>
      <c r="J27" s="2457">
        <f>'Part V-Revenues &amp; Expenses'!P58</f>
        <v>0</v>
      </c>
      <c r="K27" s="431"/>
      <c r="S27" s="431"/>
    </row>
    <row r="28" spans="1:19" ht="15" customHeight="1">
      <c r="C28" s="723" t="s">
        <v>112</v>
      </c>
      <c r="D28" s="438"/>
      <c r="E28" s="1498">
        <f>'Part V-Revenues &amp; Expenses'!K59</f>
        <v>0</v>
      </c>
      <c r="F28" s="1499">
        <f>'Part V-Revenues &amp; Expenses'!L59</f>
        <v>26</v>
      </c>
      <c r="G28" s="1499">
        <f>'Part V-Revenues &amp; Expenses'!M59</f>
        <v>27</v>
      </c>
      <c r="H28" s="1499">
        <f>'Part V-Revenues &amp; Expenses'!N59</f>
        <v>5</v>
      </c>
      <c r="I28" s="1499">
        <f>'Part V-Revenues &amp; Expenses'!O59</f>
        <v>0</v>
      </c>
      <c r="J28" s="2457">
        <f>'Part V-Revenues &amp; Expenses'!P59</f>
        <v>58</v>
      </c>
      <c r="K28" s="431"/>
      <c r="S28" s="431"/>
    </row>
    <row r="29" spans="1:19" ht="13.1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26</v>
      </c>
      <c r="G32" s="2459">
        <f>'Part V-Revenues &amp; Expenses'!M63</f>
        <v>27</v>
      </c>
      <c r="H32" s="2459">
        <f>'Part V-Revenues &amp; Expenses'!N63</f>
        <v>5</v>
      </c>
      <c r="I32" s="2459">
        <f>'Part V-Revenues &amp; Expenses'!O63</f>
        <v>0</v>
      </c>
      <c r="J32" s="1500">
        <f>'Part V-Revenues &amp; Expenses'!P63</f>
        <v>58</v>
      </c>
      <c r="K32" s="431"/>
      <c r="S32" s="431"/>
    </row>
    <row r="33" spans="1:12" s="431" customFormat="1" ht="13.15" customHeight="1" thickBot="1">
      <c r="K33" s="1407"/>
    </row>
    <row r="34" spans="1:12" s="431" customFormat="1" ht="14.25" customHeight="1" thickBot="1">
      <c r="A34" s="1407"/>
      <c r="B34" s="4749" t="s">
        <v>4067</v>
      </c>
      <c r="E34" s="4750" t="s">
        <v>3967</v>
      </c>
      <c r="F34" s="4751"/>
      <c r="G34" s="4751"/>
      <c r="H34" s="4751"/>
      <c r="I34" s="4751"/>
      <c r="J34" s="4751"/>
      <c r="K34" s="4751"/>
      <c r="L34" s="4752"/>
    </row>
    <row r="35" spans="1:12" s="431" customFormat="1" ht="14.25" customHeight="1">
      <c r="A35" s="1407"/>
      <c r="B35" s="4749"/>
      <c r="C35" s="4753" t="s">
        <v>4068</v>
      </c>
      <c r="D35" s="4749" t="s">
        <v>4069</v>
      </c>
      <c r="E35" s="4754" t="s">
        <v>3970</v>
      </c>
      <c r="F35" s="4755"/>
      <c r="G35" s="4758" t="s">
        <v>1273</v>
      </c>
      <c r="H35" s="4760" t="s">
        <v>3966</v>
      </c>
      <c r="I35" s="4761"/>
      <c r="J35" s="4761"/>
      <c r="K35" s="4761"/>
      <c r="L35" s="4762"/>
    </row>
    <row r="36" spans="1:12" s="431" customFormat="1" ht="23.25" customHeight="1">
      <c r="A36" s="4753" t="s">
        <v>974</v>
      </c>
      <c r="B36" s="4749"/>
      <c r="C36" s="4753"/>
      <c r="D36" s="4749"/>
      <c r="E36" s="4756"/>
      <c r="F36" s="4757"/>
      <c r="G36" s="4759"/>
      <c r="H36" s="4763" t="s">
        <v>3968</v>
      </c>
      <c r="I36" s="4764"/>
      <c r="J36" s="4767" t="s">
        <v>1273</v>
      </c>
      <c r="K36" s="4764" t="s">
        <v>3969</v>
      </c>
      <c r="L36" s="4769"/>
    </row>
    <row r="37" spans="1:12" s="431" customFormat="1" ht="23.25" customHeight="1">
      <c r="A37" s="4753"/>
      <c r="B37" s="4749"/>
      <c r="C37" s="4753"/>
      <c r="D37" s="4749"/>
      <c r="E37" s="4756"/>
      <c r="F37" s="4757"/>
      <c r="G37" s="4759"/>
      <c r="H37" s="4763"/>
      <c r="I37" s="4764"/>
      <c r="J37" s="4768"/>
      <c r="K37" s="4764"/>
      <c r="L37" s="4769"/>
    </row>
    <row r="38" spans="1:12" s="431" customFormat="1" ht="23.25" customHeight="1">
      <c r="A38" s="4749"/>
      <c r="B38" s="4749"/>
      <c r="C38" s="4749"/>
      <c r="D38" s="4749"/>
      <c r="E38" s="4756"/>
      <c r="F38" s="4757"/>
      <c r="G38" s="4759"/>
      <c r="H38" s="4765"/>
      <c r="I38" s="4766"/>
      <c r="J38" s="4768"/>
      <c r="K38" s="4766"/>
      <c r="L38" s="4770"/>
    </row>
    <row r="39" spans="1:12" s="431" customFormat="1" ht="13.15" customHeight="1">
      <c r="A39" s="1486">
        <f>'Part V-Revenues &amp; Expenses'!B18</f>
        <v>50</v>
      </c>
      <c r="B39" s="1487">
        <f>'Part V-Revenues &amp; Expenses'!E18</f>
        <v>26</v>
      </c>
      <c r="C39" s="1488" t="str">
        <f>_xlfn.CONCAT('Part V-Revenues &amp; Expenses'!C18," / ",'Part V-Revenues &amp; Expenses'!D18)</f>
        <v>1 / 1</v>
      </c>
      <c r="D39" s="1487">
        <f>'Part V-Revenues &amp; Expenses'!F18</f>
        <v>744</v>
      </c>
      <c r="E39" s="4773">
        <f>'Part V-Revenues &amp; Expenses'!H18</f>
        <v>964</v>
      </c>
      <c r="F39" s="4774"/>
      <c r="G39" s="438"/>
      <c r="H39" s="4743"/>
      <c r="I39" s="4744"/>
      <c r="J39" s="4744"/>
      <c r="K39" s="4744"/>
      <c r="L39" s="4745"/>
    </row>
    <row r="40" spans="1:12" s="431" customFormat="1" ht="13.15" customHeight="1">
      <c r="A40" s="1489">
        <f>'Part V-Revenues &amp; Expenses'!B19</f>
        <v>50</v>
      </c>
      <c r="B40" s="1490">
        <f>'Part V-Revenues &amp; Expenses'!E19</f>
        <v>27</v>
      </c>
      <c r="C40" s="1491" t="str">
        <f>_xlfn.CONCAT('Part V-Revenues &amp; Expenses'!C19," / ",'Part V-Revenues &amp; Expenses'!D19)</f>
        <v>2 / 2</v>
      </c>
      <c r="D40" s="1490">
        <f>'Part V-Revenues &amp; Expenses'!F19</f>
        <v>1178</v>
      </c>
      <c r="E40" s="4741">
        <f>'Part V-Revenues &amp; Expenses'!H19</f>
        <v>1157</v>
      </c>
      <c r="F40" s="4742"/>
      <c r="G40" s="438"/>
      <c r="H40" s="4738"/>
      <c r="I40" s="4739"/>
      <c r="J40" s="4739"/>
      <c r="K40" s="4739"/>
      <c r="L40" s="4740"/>
    </row>
    <row r="41" spans="1:12" s="431" customFormat="1" ht="13.15" customHeight="1">
      <c r="A41" s="1489">
        <f>'Part V-Revenues &amp; Expenses'!B20</f>
        <v>50</v>
      </c>
      <c r="B41" s="1490">
        <f>'Part V-Revenues &amp; Expenses'!E20</f>
        <v>5</v>
      </c>
      <c r="C41" s="1491" t="str">
        <f>_xlfn.CONCAT('Part V-Revenues &amp; Expenses'!C20," / ",'Part V-Revenues &amp; Expenses'!D20)</f>
        <v>3 / 2</v>
      </c>
      <c r="D41" s="1490">
        <f>'Part V-Revenues &amp; Expenses'!F20</f>
        <v>1284</v>
      </c>
      <c r="E41" s="4741">
        <f>'Part V-Revenues &amp; Expenses'!H20</f>
        <v>1337</v>
      </c>
      <c r="F41" s="4742"/>
      <c r="G41" s="438"/>
      <c r="H41" s="4738"/>
      <c r="I41" s="4739"/>
      <c r="J41" s="4739"/>
      <c r="K41" s="4739"/>
      <c r="L41" s="4740"/>
    </row>
    <row r="42" spans="1:12" s="431" customFormat="1" ht="13.15"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41">
        <f>'Part V-Revenues &amp; Expenses'!H21</f>
        <v>0</v>
      </c>
      <c r="F42" s="4742"/>
      <c r="G42" s="438"/>
      <c r="H42" s="4738"/>
      <c r="I42" s="4739"/>
      <c r="J42" s="4739"/>
      <c r="K42" s="4739"/>
      <c r="L42" s="4740"/>
    </row>
    <row r="43" spans="1:12" s="431" customFormat="1" ht="13.15"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41">
        <f>'Part V-Revenues &amp; Expenses'!H22</f>
        <v>0</v>
      </c>
      <c r="F43" s="4742"/>
      <c r="G43" s="438"/>
      <c r="H43" s="4738"/>
      <c r="I43" s="4739"/>
      <c r="J43" s="4739"/>
      <c r="K43" s="4739"/>
      <c r="L43" s="4740"/>
    </row>
    <row r="44" spans="1:12" s="431" customFormat="1" ht="13.15" customHeight="1">
      <c r="A44" s="1489">
        <f>'Part V-Revenues &amp; Expenses'!B23</f>
        <v>0</v>
      </c>
      <c r="B44" s="1490">
        <f>'Part V-Revenues &amp; Expenses'!E23</f>
        <v>0</v>
      </c>
      <c r="C44" s="1491" t="str">
        <f>_xlfn.CONCAT('Part V-Revenues &amp; Expenses'!C23," / ",'Part V-Revenues &amp; Expenses'!D23)</f>
        <v xml:space="preserve"> / </v>
      </c>
      <c r="D44" s="1490">
        <f>'Part V-Revenues &amp; Expenses'!F23</f>
        <v>0</v>
      </c>
      <c r="E44" s="4741">
        <f>'Part V-Revenues &amp; Expenses'!H23</f>
        <v>0</v>
      </c>
      <c r="F44" s="4742"/>
      <c r="G44" s="438"/>
      <c r="H44" s="4738"/>
      <c r="I44" s="4739"/>
      <c r="J44" s="4739"/>
      <c r="K44" s="4739"/>
      <c r="L44" s="4740"/>
    </row>
    <row r="45" spans="1:12" s="431" customFormat="1" ht="13.1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1">
        <f>'Part V-Revenues &amp; Expenses'!H24</f>
        <v>0</v>
      </c>
      <c r="F45" s="4742"/>
      <c r="G45" s="438"/>
      <c r="H45" s="4738"/>
      <c r="I45" s="4739"/>
      <c r="J45" s="4739"/>
      <c r="K45" s="4739"/>
      <c r="L45" s="4740"/>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1">
        <f>'Part V-Revenues &amp; Expenses'!H25</f>
        <v>0</v>
      </c>
      <c r="F46" s="4742"/>
      <c r="G46" s="438"/>
      <c r="H46" s="4738"/>
      <c r="I46" s="4739"/>
      <c r="J46" s="4739"/>
      <c r="K46" s="4739"/>
      <c r="L46" s="4740"/>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1">
        <f>'Part V-Revenues &amp; Expenses'!H26</f>
        <v>0</v>
      </c>
      <c r="F47" s="4742"/>
      <c r="G47" s="438"/>
      <c r="H47" s="4738"/>
      <c r="I47" s="4739"/>
      <c r="J47" s="4739"/>
      <c r="K47" s="4739"/>
      <c r="L47" s="4740"/>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38"/>
      <c r="I48" s="4739"/>
      <c r="J48" s="4739"/>
      <c r="K48" s="4739"/>
      <c r="L48" s="4740"/>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38"/>
      <c r="I49" s="4739"/>
      <c r="J49" s="4739"/>
      <c r="K49" s="4739"/>
      <c r="L49" s="474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38"/>
      <c r="I50" s="4739"/>
      <c r="J50" s="4739"/>
      <c r="K50" s="4739"/>
      <c r="L50" s="474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38"/>
      <c r="I51" s="4739"/>
      <c r="J51" s="4739"/>
      <c r="K51" s="4739"/>
      <c r="L51" s="474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38"/>
      <c r="I52" s="4739"/>
      <c r="J52" s="4739"/>
      <c r="K52" s="4739"/>
      <c r="L52" s="474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38"/>
      <c r="I53" s="4739"/>
      <c r="J53" s="4739"/>
      <c r="K53" s="4739"/>
      <c r="L53" s="474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38"/>
      <c r="I54" s="4739"/>
      <c r="J54" s="4739"/>
      <c r="K54" s="4739"/>
      <c r="L54" s="474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38"/>
      <c r="I55" s="4739"/>
      <c r="J55" s="4739"/>
      <c r="K55" s="4739"/>
      <c r="L55" s="474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38"/>
      <c r="I56" s="4739"/>
      <c r="J56" s="4739"/>
      <c r="K56" s="4739"/>
      <c r="L56" s="474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38"/>
      <c r="I57" s="4739"/>
      <c r="J57" s="4739"/>
      <c r="K57" s="4739"/>
      <c r="L57" s="474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38"/>
      <c r="I58" s="4739"/>
      <c r="J58" s="4739"/>
      <c r="K58" s="4739"/>
      <c r="L58" s="474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38"/>
      <c r="I59" s="4739"/>
      <c r="J59" s="4739"/>
      <c r="K59" s="4739"/>
      <c r="L59" s="474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38"/>
      <c r="I60" s="4739"/>
      <c r="J60" s="4739"/>
      <c r="K60" s="4739"/>
      <c r="L60" s="474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38"/>
      <c r="I61" s="4739"/>
      <c r="J61" s="4739"/>
      <c r="K61" s="4739"/>
      <c r="L61" s="474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38"/>
      <c r="I62" s="4739"/>
      <c r="J62" s="4739"/>
      <c r="K62" s="4739"/>
      <c r="L62" s="474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38"/>
      <c r="I63" s="4739"/>
      <c r="J63" s="4739"/>
      <c r="K63" s="4739"/>
      <c r="L63" s="474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38"/>
      <c r="I64" s="4739"/>
      <c r="J64" s="4739"/>
      <c r="K64" s="4739"/>
      <c r="L64" s="474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38"/>
      <c r="I65" s="4739"/>
      <c r="J65" s="4739"/>
      <c r="K65" s="4739"/>
      <c r="L65" s="474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38"/>
      <c r="I66" s="4739"/>
      <c r="J66" s="4739"/>
      <c r="K66" s="4739"/>
      <c r="L66" s="474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38"/>
      <c r="I67" s="4739"/>
      <c r="J67" s="4739"/>
      <c r="K67" s="4739"/>
      <c r="L67" s="474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38"/>
      <c r="I68" s="4739"/>
      <c r="J68" s="4739"/>
      <c r="K68" s="4739"/>
      <c r="L68" s="474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1">
        <f>'Part V-Revenues &amp; Expenses'!H48</f>
        <v>0</v>
      </c>
      <c r="F69" s="4772"/>
      <c r="G69" s="1495"/>
      <c r="H69" s="4746"/>
      <c r="I69" s="4747"/>
      <c r="J69" s="4747"/>
      <c r="K69" s="4747"/>
      <c r="L69" s="474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2" t="s">
        <v>673</v>
      </c>
      <c r="B2" s="4833"/>
      <c r="C2" s="4833"/>
      <c r="D2" s="4833"/>
      <c r="E2" s="4833"/>
      <c r="F2" s="4833"/>
      <c r="G2" s="4833"/>
      <c r="H2" s="4833"/>
      <c r="I2" s="4833"/>
      <c r="J2" s="4833"/>
      <c r="K2" s="4833"/>
      <c r="L2" s="4833"/>
      <c r="M2" s="4833"/>
      <c r="N2" s="4833"/>
      <c r="O2" s="4833"/>
      <c r="P2" s="4833"/>
      <c r="Q2" s="4833"/>
      <c r="R2" s="48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4765</v>
      </c>
      <c r="B7" s="225"/>
      <c r="C7" s="147"/>
      <c r="D7" s="147"/>
      <c r="E7" s="144"/>
      <c r="F7" s="147" t="s">
        <v>4766</v>
      </c>
      <c r="G7" s="147"/>
      <c r="H7" s="144"/>
      <c r="I7" s="144"/>
      <c r="J7" s="147" t="s">
        <v>4767</v>
      </c>
      <c r="K7" s="147"/>
      <c r="L7" s="147" t="s">
        <v>4768</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4764</v>
      </c>
      <c r="B9" s="147"/>
      <c r="C9" s="147"/>
      <c r="D9" s="144"/>
      <c r="E9" s="144"/>
      <c r="F9" s="147" t="s">
        <v>4766</v>
      </c>
      <c r="G9" s="147"/>
      <c r="H9" s="144"/>
      <c r="I9" s="144"/>
      <c r="J9" s="147" t="s">
        <v>4769</v>
      </c>
      <c r="K9" s="147"/>
      <c r="L9" s="147" t="s">
        <v>4777</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4770</v>
      </c>
      <c r="K10" s="147"/>
      <c r="L10" s="147" t="s">
        <v>4777</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4776</v>
      </c>
      <c r="R12" s="2083" t="s">
        <v>4775</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4142</v>
      </c>
      <c r="K13" s="147"/>
      <c r="L13" s="147" t="s">
        <v>4763</v>
      </c>
      <c r="M13" s="147"/>
      <c r="N13" s="147" t="s">
        <v>4771</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4772</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4773</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4774</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4778</v>
      </c>
      <c r="K18" s="147"/>
      <c r="L18" s="147" t="s">
        <v>4780</v>
      </c>
      <c r="M18" s="147"/>
      <c r="N18" s="147"/>
      <c r="O18" s="147"/>
      <c r="P18" s="147"/>
      <c r="Q18" s="2057" t="s">
        <v>4779</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4785</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4786</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835" t="s">
        <v>4511</v>
      </c>
      <c r="R24" s="4836"/>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3056</v>
      </c>
      <c r="K25" s="234"/>
      <c r="M25" s="234"/>
      <c r="N25" s="234"/>
      <c r="O25" s="147"/>
      <c r="Q25" s="4837">
        <v>0.1</v>
      </c>
      <c r="R25" s="4838"/>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9" t="s">
        <v>3781</v>
      </c>
      <c r="R26" s="4839"/>
      <c r="S26" s="144"/>
      <c r="T26" s="144"/>
      <c r="U26" s="144"/>
      <c r="AA26" s="68"/>
      <c r="AB26" s="68"/>
    </row>
    <row r="27" spans="1:28" s="145" customFormat="1" ht="12.75" hidden="1" customHeight="1">
      <c r="A27" s="147"/>
      <c r="B27" s="147"/>
      <c r="C27" s="147"/>
      <c r="K27" s="236" t="s">
        <v>3782</v>
      </c>
      <c r="L27" s="236"/>
      <c r="N27" s="234"/>
      <c r="O27" s="147"/>
      <c r="P27" s="144"/>
      <c r="Q27" s="4840">
        <v>0.2</v>
      </c>
      <c r="R27" s="4841"/>
      <c r="S27" s="144"/>
      <c r="T27" s="144"/>
      <c r="U27" s="144"/>
      <c r="AA27" s="68"/>
      <c r="AB27" s="68"/>
    </row>
    <row r="28" spans="1:28" s="145" customFormat="1" ht="12.75" hidden="1" customHeight="1">
      <c r="A28" s="147"/>
      <c r="B28" s="147"/>
      <c r="C28" s="147"/>
      <c r="K28" s="236" t="s">
        <v>3783</v>
      </c>
      <c r="L28" s="236"/>
      <c r="N28" s="234"/>
      <c r="O28" s="147"/>
      <c r="P28" s="144"/>
      <c r="Q28" s="4824">
        <v>0.15</v>
      </c>
      <c r="R28" s="4825"/>
      <c r="S28" s="144"/>
      <c r="T28" s="144"/>
      <c r="U28" s="144"/>
      <c r="AA28" s="68"/>
      <c r="AB28" s="68"/>
    </row>
    <row r="29" spans="1:28" s="145" customFormat="1" ht="12.75" hidden="1" customHeight="1">
      <c r="A29" s="147"/>
      <c r="B29" s="147"/>
      <c r="C29" s="147"/>
      <c r="K29" s="236" t="s">
        <v>3784</v>
      </c>
      <c r="L29" s="236"/>
      <c r="N29" s="234"/>
      <c r="O29" s="147"/>
      <c r="P29" s="144"/>
      <c r="Q29" s="4824">
        <v>0.15</v>
      </c>
      <c r="R29" s="4825"/>
      <c r="S29" s="144"/>
      <c r="T29" s="144"/>
      <c r="U29" s="144"/>
      <c r="AA29" s="68"/>
      <c r="AB29" s="68"/>
    </row>
    <row r="30" spans="1:28" s="145" customFormat="1" ht="12.75" hidden="1" customHeight="1">
      <c r="A30" s="147"/>
      <c r="B30" s="147"/>
      <c r="C30" s="147"/>
      <c r="K30" s="236" t="s">
        <v>3785</v>
      </c>
      <c r="L30" s="236"/>
      <c r="N30" s="234"/>
      <c r="O30" s="147"/>
      <c r="P30" s="144"/>
      <c r="Q30" s="4824">
        <v>0.1</v>
      </c>
      <c r="R30" s="4825"/>
      <c r="S30" s="144"/>
      <c r="T30" s="144"/>
      <c r="U30" s="144"/>
      <c r="AA30" s="68"/>
      <c r="AB30" s="68"/>
    </row>
    <row r="31" spans="1:28" s="145" customFormat="1" ht="12.75" hidden="1" customHeight="1">
      <c r="A31" s="147"/>
      <c r="B31" s="147"/>
      <c r="C31" s="147"/>
      <c r="K31" s="236" t="s">
        <v>3786</v>
      </c>
      <c r="L31" s="236"/>
      <c r="N31" s="234"/>
      <c r="O31" s="147"/>
      <c r="P31" s="144"/>
      <c r="Q31" s="4826">
        <v>0.1</v>
      </c>
      <c r="R31" s="482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4002</v>
      </c>
      <c r="G48" s="147"/>
      <c r="H48" s="144"/>
      <c r="I48" s="144"/>
      <c r="J48" s="147" t="s">
        <v>4003</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4781</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4871</v>
      </c>
      <c r="D57" s="147"/>
      <c r="E57" s="144"/>
      <c r="F57" s="236" t="s">
        <v>4875</v>
      </c>
      <c r="G57" s="147"/>
      <c r="H57" s="144"/>
      <c r="I57" s="144"/>
      <c r="K57" s="147"/>
      <c r="L57" s="147"/>
      <c r="M57" s="147"/>
      <c r="N57" s="147"/>
      <c r="O57" s="147"/>
      <c r="P57" s="144"/>
      <c r="Q57" s="4828">
        <v>2000</v>
      </c>
      <c r="R57" s="4829"/>
      <c r="S57" s="236"/>
      <c r="T57" s="236"/>
      <c r="U57" s="236"/>
      <c r="AA57" s="68"/>
      <c r="AB57" s="68"/>
    </row>
    <row r="58" spans="1:28" s="145" customFormat="1" ht="11.65" customHeight="1">
      <c r="A58" s="147"/>
      <c r="B58" s="147"/>
      <c r="C58" s="236" t="s">
        <v>4872</v>
      </c>
      <c r="D58" s="147"/>
      <c r="E58" s="144"/>
      <c r="F58" s="147" t="s">
        <v>4873</v>
      </c>
      <c r="G58" s="147"/>
      <c r="H58" s="144"/>
      <c r="I58" s="144"/>
      <c r="J58" s="147" t="s">
        <v>4876</v>
      </c>
      <c r="K58" s="147"/>
      <c r="L58" s="147"/>
      <c r="M58" s="147" t="s">
        <v>1125</v>
      </c>
      <c r="N58" s="147"/>
      <c r="O58" s="147"/>
      <c r="P58" s="144"/>
      <c r="Q58" s="4830">
        <v>10000</v>
      </c>
      <c r="R58" s="483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2">
        <v>8000</v>
      </c>
      <c r="R59" s="4823"/>
      <c r="S59" s="236"/>
      <c r="T59" s="236"/>
      <c r="U59" s="236"/>
      <c r="AA59" s="68"/>
      <c r="AB59" s="68"/>
    </row>
    <row r="60" spans="1:28" s="145" customFormat="1" ht="11.65" customHeight="1">
      <c r="A60" s="147"/>
      <c r="B60" s="147"/>
      <c r="C60" s="147"/>
      <c r="D60" s="147"/>
      <c r="E60" s="144"/>
      <c r="G60" s="147"/>
      <c r="H60" s="144"/>
      <c r="I60" s="144"/>
      <c r="J60" s="236" t="s">
        <v>4874</v>
      </c>
      <c r="K60" s="147"/>
      <c r="L60" s="147"/>
      <c r="M60" s="147" t="s">
        <v>1125</v>
      </c>
      <c r="N60" s="147"/>
      <c r="O60" s="147"/>
      <c r="P60" s="144"/>
      <c r="Q60" s="4822">
        <v>10000</v>
      </c>
      <c r="R60" s="482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5">
        <v>8000</v>
      </c>
      <c r="R61" s="4806"/>
      <c r="S61" s="236"/>
      <c r="T61" s="236"/>
      <c r="U61" s="236"/>
      <c r="AA61" s="68"/>
      <c r="AB61" s="68"/>
    </row>
    <row r="62" spans="1:28" s="145" customFormat="1" ht="11.65" customHeight="1">
      <c r="A62" s="147"/>
      <c r="B62" s="147"/>
      <c r="C62" s="147" t="s">
        <v>4877</v>
      </c>
      <c r="D62" s="147"/>
      <c r="E62" s="144"/>
      <c r="F62" s="147" t="s">
        <v>3233</v>
      </c>
      <c r="G62" s="147"/>
      <c r="H62" s="144"/>
      <c r="I62" s="144"/>
      <c r="K62" s="147"/>
      <c r="L62" s="147"/>
      <c r="M62" s="147"/>
      <c r="N62" s="147"/>
      <c r="O62" s="147"/>
      <c r="P62" s="144"/>
      <c r="Q62" s="4830">
        <v>2500</v>
      </c>
      <c r="R62" s="4831"/>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822">
        <v>2500</v>
      </c>
      <c r="R63" s="4823"/>
      <c r="S63" s="236"/>
      <c r="T63" s="236"/>
      <c r="U63" s="236"/>
      <c r="AA63" s="68"/>
      <c r="AB63" s="68"/>
    </row>
    <row r="64" spans="1:28" s="145" customFormat="1" ht="11.65" customHeight="1">
      <c r="A64" s="147"/>
      <c r="B64" s="147"/>
      <c r="C64" s="147"/>
      <c r="D64" s="147"/>
      <c r="E64" s="144"/>
      <c r="F64" s="236" t="s">
        <v>4878</v>
      </c>
      <c r="G64" s="147"/>
      <c r="H64" s="144"/>
      <c r="I64" s="144"/>
      <c r="Q64" s="4822">
        <v>1500</v>
      </c>
      <c r="R64" s="4823"/>
      <c r="S64" s="236"/>
      <c r="T64" s="236"/>
      <c r="U64" s="236"/>
      <c r="AA64" s="68"/>
      <c r="AB64" s="68"/>
    </row>
    <row r="65" spans="1:28" s="145" customFormat="1" ht="11.65" customHeight="1">
      <c r="A65" s="144"/>
      <c r="B65" s="236"/>
      <c r="C65" s="147"/>
      <c r="D65" s="147"/>
      <c r="E65" s="144"/>
      <c r="F65" s="147" t="s">
        <v>4879</v>
      </c>
      <c r="G65" s="147"/>
      <c r="H65" s="144"/>
      <c r="I65" s="144"/>
      <c r="J65" s="147" t="s">
        <v>4880</v>
      </c>
      <c r="K65" s="147"/>
      <c r="L65" s="147"/>
      <c r="M65" s="147"/>
      <c r="N65" s="147"/>
      <c r="O65" s="147"/>
      <c r="P65" s="144"/>
      <c r="Q65" s="4822">
        <v>15000</v>
      </c>
      <c r="R65" s="4823"/>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814">
        <v>1500</v>
      </c>
      <c r="R66" s="4815"/>
      <c r="S66" s="236"/>
      <c r="T66" s="236"/>
      <c r="U66" s="236"/>
      <c r="AA66" s="68"/>
      <c r="AB66" s="68"/>
    </row>
    <row r="67" spans="1:28" s="145" customFormat="1" ht="11.65" customHeight="1">
      <c r="A67" s="144"/>
      <c r="B67" s="236"/>
      <c r="C67" s="147"/>
      <c r="D67" s="147"/>
      <c r="E67" s="144"/>
      <c r="F67" s="147" t="s">
        <v>4881</v>
      </c>
      <c r="G67" s="147"/>
      <c r="H67" s="144"/>
      <c r="I67" s="144"/>
      <c r="J67" s="147"/>
      <c r="K67" s="147"/>
      <c r="L67" s="147"/>
      <c r="M67" s="147"/>
      <c r="N67" s="147"/>
      <c r="O67" s="147"/>
      <c r="P67" s="144"/>
      <c r="Q67" s="4816" t="s">
        <v>4883</v>
      </c>
      <c r="R67" s="4817"/>
      <c r="S67" s="236"/>
      <c r="T67" s="236"/>
      <c r="U67" s="236"/>
      <c r="AA67" s="68"/>
      <c r="AB67" s="68"/>
    </row>
    <row r="68" spans="1:28" s="145" customFormat="1" ht="11.65" customHeight="1">
      <c r="A68" s="144"/>
      <c r="B68" s="236"/>
      <c r="C68" s="147"/>
      <c r="D68" s="147"/>
      <c r="E68" s="144"/>
      <c r="F68" s="147" t="s">
        <v>4882</v>
      </c>
      <c r="G68" s="147"/>
      <c r="H68" s="144"/>
      <c r="I68" s="144"/>
      <c r="J68" s="147"/>
      <c r="K68" s="147"/>
      <c r="L68" s="147"/>
      <c r="M68" s="147"/>
      <c r="N68" s="147"/>
      <c r="O68" s="147"/>
      <c r="P68" s="144"/>
      <c r="Q68" s="4818" t="s">
        <v>4883</v>
      </c>
      <c r="R68" s="4819"/>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820">
        <v>1500</v>
      </c>
      <c r="R69" s="4821"/>
      <c r="S69" s="236"/>
      <c r="T69" s="236"/>
      <c r="U69" s="236"/>
      <c r="AA69" s="68"/>
      <c r="AB69" s="68"/>
    </row>
    <row r="70" spans="1:28" s="145" customFormat="1" ht="11.65" customHeight="1">
      <c r="A70" s="147"/>
      <c r="C70" s="147" t="s">
        <v>4884</v>
      </c>
      <c r="D70" s="144"/>
      <c r="E70" s="144"/>
      <c r="F70" s="147" t="s">
        <v>4647</v>
      </c>
      <c r="H70" s="147"/>
      <c r="I70" s="144"/>
      <c r="J70" s="147" t="s">
        <v>888</v>
      </c>
      <c r="K70" s="147"/>
      <c r="L70" s="147"/>
      <c r="M70" s="147"/>
      <c r="N70" s="147"/>
      <c r="O70" s="147"/>
      <c r="P70" s="144"/>
      <c r="Q70" s="4790">
        <v>0.08</v>
      </c>
      <c r="R70" s="4790"/>
      <c r="S70" s="236"/>
      <c r="T70" s="236"/>
      <c r="U70" s="236"/>
      <c r="AA70" s="68"/>
      <c r="AB70" s="68"/>
    </row>
    <row r="71" spans="1:28" s="145" customFormat="1" ht="11.65" customHeight="1">
      <c r="A71" s="147"/>
      <c r="C71" s="147"/>
      <c r="D71" s="144"/>
      <c r="E71" s="144"/>
      <c r="F71" s="147" t="s">
        <v>4001</v>
      </c>
      <c r="H71" s="147"/>
      <c r="I71" s="144"/>
      <c r="J71" s="147" t="s">
        <v>888</v>
      </c>
      <c r="K71" s="147"/>
      <c r="L71" s="147"/>
      <c r="M71" s="147"/>
      <c r="N71" s="147"/>
      <c r="O71" s="147"/>
      <c r="P71" s="144"/>
      <c r="Q71" s="4784">
        <v>0.08</v>
      </c>
      <c r="R71" s="4784"/>
      <c r="S71" s="236"/>
      <c r="T71" s="236"/>
      <c r="U71" s="236"/>
      <c r="AA71" s="68"/>
      <c r="AB71" s="68"/>
    </row>
    <row r="72" spans="1:28" s="145" customFormat="1" ht="11.65" customHeight="1">
      <c r="A72" s="147"/>
      <c r="C72" s="147"/>
      <c r="D72" s="144"/>
      <c r="E72" s="144"/>
      <c r="F72" s="147" t="s">
        <v>4885</v>
      </c>
      <c r="H72" s="147"/>
      <c r="I72" s="144"/>
      <c r="J72" s="147"/>
      <c r="K72" s="147"/>
      <c r="L72" s="147"/>
      <c r="M72" s="147"/>
      <c r="N72" s="147"/>
      <c r="O72" s="147"/>
      <c r="P72" s="144"/>
      <c r="Q72" s="4822">
        <v>2500</v>
      </c>
      <c r="R72" s="4823"/>
      <c r="S72" s="236"/>
      <c r="T72" s="236"/>
      <c r="U72" s="236"/>
      <c r="AA72" s="68"/>
      <c r="AB72" s="68"/>
    </row>
    <row r="73" spans="1:28" s="145" customFormat="1" ht="11.65" customHeight="1">
      <c r="A73" s="147"/>
      <c r="B73" s="147"/>
      <c r="C73" s="147"/>
      <c r="D73" s="144"/>
      <c r="E73" s="144"/>
      <c r="F73" s="147" t="s">
        <v>4648</v>
      </c>
      <c r="I73" s="144"/>
      <c r="J73" s="147" t="s">
        <v>1635</v>
      </c>
      <c r="K73" s="147"/>
      <c r="L73" s="147"/>
      <c r="M73" s="147"/>
      <c r="N73" s="147"/>
      <c r="O73" s="147"/>
      <c r="P73" s="144"/>
      <c r="Q73" s="4822">
        <v>8000</v>
      </c>
      <c r="R73" s="4823"/>
      <c r="S73" s="236"/>
      <c r="T73" s="236"/>
      <c r="U73" s="236"/>
      <c r="AA73" s="68"/>
      <c r="AB73" s="68"/>
    </row>
    <row r="74" spans="1:28" s="145" customFormat="1" ht="11.65" customHeight="1">
      <c r="A74" s="147"/>
      <c r="C74" s="147" t="s">
        <v>4649</v>
      </c>
      <c r="D74" s="144"/>
      <c r="E74" s="144"/>
      <c r="F74" s="147" t="s">
        <v>889</v>
      </c>
      <c r="H74" s="147" t="s">
        <v>1502</v>
      </c>
      <c r="I74" s="144"/>
      <c r="J74" s="147" t="s">
        <v>1430</v>
      </c>
      <c r="K74" s="147"/>
      <c r="L74" s="147"/>
      <c r="M74" s="147"/>
      <c r="N74" s="147"/>
      <c r="O74" s="147"/>
      <c r="P74" s="144"/>
      <c r="Q74" s="4822">
        <v>800</v>
      </c>
      <c r="R74" s="4823"/>
      <c r="S74" s="236"/>
      <c r="T74" s="236"/>
      <c r="U74" s="236"/>
      <c r="AA74" s="68"/>
      <c r="AB74" s="68"/>
    </row>
    <row r="75" spans="1:28" s="145" customFormat="1" ht="11.65" customHeight="1">
      <c r="A75" s="147"/>
      <c r="C75" s="147"/>
      <c r="D75" s="144"/>
      <c r="E75" s="144"/>
      <c r="F75" s="147"/>
      <c r="H75" s="147"/>
      <c r="I75" s="147" t="s">
        <v>3652</v>
      </c>
      <c r="J75" s="147" t="s">
        <v>1430</v>
      </c>
      <c r="K75" s="147"/>
      <c r="L75" s="147"/>
      <c r="M75" s="147"/>
      <c r="N75" s="147"/>
      <c r="O75" s="147"/>
      <c r="P75" s="144"/>
      <c r="Q75" s="4822">
        <v>1000</v>
      </c>
      <c r="R75" s="4823"/>
      <c r="S75" s="236"/>
      <c r="T75" s="236"/>
      <c r="U75" s="236"/>
      <c r="AA75" s="68"/>
      <c r="AB75" s="68"/>
    </row>
    <row r="76" spans="1:28" s="145" customFormat="1" ht="11.65" customHeight="1">
      <c r="A76" s="147"/>
      <c r="B76" s="147"/>
      <c r="C76" s="147"/>
      <c r="D76" s="144"/>
      <c r="E76" s="144"/>
      <c r="H76" s="147" t="s">
        <v>2440</v>
      </c>
      <c r="I76" s="144"/>
      <c r="J76" s="147" t="s">
        <v>1430</v>
      </c>
      <c r="K76" s="147" t="s">
        <v>3212</v>
      </c>
      <c r="L76" s="147"/>
      <c r="M76" s="147"/>
      <c r="N76" s="147"/>
      <c r="O76" s="147"/>
      <c r="P76" s="144"/>
      <c r="Q76" s="4812">
        <v>800</v>
      </c>
      <c r="R76" s="4813"/>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12">
        <v>1500</v>
      </c>
      <c r="R77" s="4813"/>
      <c r="S77" s="236"/>
      <c r="T77" s="236"/>
      <c r="U77" s="236"/>
      <c r="AA77" s="68"/>
      <c r="AB77" s="68"/>
    </row>
    <row r="78" spans="1:28" s="145" customFormat="1" ht="11.65" customHeight="1">
      <c r="A78" s="147"/>
      <c r="B78" s="147"/>
      <c r="C78" s="147"/>
      <c r="D78" s="147"/>
      <c r="E78" s="144"/>
      <c r="F78" s="147" t="s">
        <v>4886</v>
      </c>
      <c r="H78" s="144"/>
      <c r="I78" s="144"/>
      <c r="J78" s="147" t="s">
        <v>3651</v>
      </c>
      <c r="K78" s="147"/>
      <c r="L78" s="147"/>
      <c r="M78" s="147"/>
      <c r="N78" s="147"/>
      <c r="O78" s="147"/>
      <c r="P78" s="144"/>
      <c r="Q78" s="4805">
        <v>1500</v>
      </c>
      <c r="R78" s="4806"/>
      <c r="S78" s="236"/>
      <c r="T78" s="236"/>
      <c r="U78" s="236"/>
      <c r="AA78" s="68"/>
      <c r="AB78" s="68"/>
    </row>
    <row r="79" spans="1:28" s="145" customFormat="1" ht="11.65" customHeight="1">
      <c r="A79" s="147"/>
      <c r="B79" s="147"/>
      <c r="C79" s="147"/>
      <c r="D79" s="144"/>
      <c r="E79" s="144"/>
      <c r="F79" s="147" t="s">
        <v>3323</v>
      </c>
      <c r="I79" s="144"/>
      <c r="J79" s="147" t="s">
        <v>3653</v>
      </c>
      <c r="K79" s="147"/>
      <c r="L79" s="147"/>
      <c r="M79" s="147"/>
      <c r="N79" s="147"/>
      <c r="O79" s="147"/>
      <c r="P79" s="144"/>
      <c r="Q79" s="4807">
        <v>750</v>
      </c>
      <c r="R79" s="4808"/>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00">
        <v>75</v>
      </c>
      <c r="R80" s="4801"/>
      <c r="S80" s="236"/>
      <c r="T80" s="236"/>
      <c r="U80" s="236"/>
      <c r="AA80" s="68"/>
      <c r="AB80" s="68"/>
    </row>
    <row r="81" spans="1:28" ht="11.25" customHeight="1">
      <c r="B81" s="147" t="s">
        <v>1721</v>
      </c>
      <c r="F81" s="1231" t="s">
        <v>3787</v>
      </c>
      <c r="G81" s="236"/>
      <c r="H81" s="236"/>
      <c r="J81" s="147" t="s">
        <v>3793</v>
      </c>
      <c r="K81" s="147" t="s">
        <v>3794</v>
      </c>
      <c r="L81" s="44"/>
      <c r="M81" s="44"/>
      <c r="N81" s="44"/>
      <c r="O81" s="1235" t="s">
        <v>3788</v>
      </c>
      <c r="AA81"/>
      <c r="AB81"/>
    </row>
    <row r="82" spans="1:28" ht="11.25" customHeight="1">
      <c r="F82" s="115"/>
      <c r="H82" s="1232">
        <v>0.09</v>
      </c>
      <c r="J82" s="391">
        <v>1</v>
      </c>
      <c r="K82" s="391">
        <v>50</v>
      </c>
      <c r="Q82" s="4809">
        <v>27500</v>
      </c>
      <c r="R82" s="4809"/>
      <c r="AA82"/>
      <c r="AB82"/>
    </row>
    <row r="83" spans="1:28" ht="11.25" customHeight="1">
      <c r="F83" s="115"/>
      <c r="H83" s="686"/>
      <c r="J83" s="391">
        <v>51</v>
      </c>
      <c r="K83" s="391">
        <v>70</v>
      </c>
      <c r="Q83" s="4810">
        <v>22000</v>
      </c>
      <c r="R83" s="4810"/>
      <c r="AA83"/>
      <c r="AB83"/>
    </row>
    <row r="84" spans="1:28" ht="11.25" customHeight="1">
      <c r="F84" s="115"/>
      <c r="H84" s="1434"/>
      <c r="I84" s="165"/>
      <c r="J84" s="1435">
        <v>71</v>
      </c>
      <c r="K84" s="1436"/>
      <c r="L84" s="165"/>
      <c r="M84" s="165"/>
      <c r="N84" s="165"/>
      <c r="O84" s="165"/>
      <c r="P84" s="1437"/>
      <c r="Q84" s="4811">
        <v>16500</v>
      </c>
      <c r="R84" s="4811"/>
      <c r="AA84"/>
      <c r="AB84"/>
    </row>
    <row r="85" spans="1:28" ht="11.25" customHeight="1">
      <c r="H85" s="1438">
        <v>0.04</v>
      </c>
      <c r="I85" s="1439"/>
      <c r="J85" s="1440">
        <v>1</v>
      </c>
      <c r="K85" s="1440">
        <v>50</v>
      </c>
      <c r="L85" s="1439"/>
      <c r="M85" s="1439"/>
      <c r="N85" s="1439"/>
      <c r="O85" s="1439"/>
      <c r="P85" s="1441"/>
      <c r="Q85" s="4809">
        <v>27500</v>
      </c>
      <c r="R85" s="4809"/>
      <c r="AA85"/>
      <c r="AB85"/>
    </row>
    <row r="86" spans="1:28" ht="11.25" customHeight="1">
      <c r="H86" s="1233"/>
      <c r="J86" s="391">
        <v>51</v>
      </c>
      <c r="K86" s="391">
        <v>70</v>
      </c>
      <c r="Q86" s="4810">
        <v>22000</v>
      </c>
      <c r="R86" s="4810"/>
      <c r="AA86"/>
      <c r="AB86"/>
    </row>
    <row r="87" spans="1:28" ht="11.25" customHeight="1">
      <c r="H87" s="1233"/>
      <c r="J87" s="391">
        <v>71</v>
      </c>
      <c r="K87" s="1233"/>
      <c r="Q87" s="4811">
        <v>16500</v>
      </c>
      <c r="R87" s="4811"/>
      <c r="AA87"/>
      <c r="AB87"/>
    </row>
    <row r="88" spans="1:28" ht="11.25" customHeight="1">
      <c r="F88" s="236" t="s">
        <v>3789</v>
      </c>
      <c r="H88" s="369"/>
      <c r="I88" s="44"/>
      <c r="AA88"/>
      <c r="AB88"/>
    </row>
    <row r="89" spans="1:28" ht="11.25" customHeight="1">
      <c r="H89" s="1234">
        <v>0.09</v>
      </c>
      <c r="I89" s="236"/>
      <c r="Q89" s="4809">
        <v>2285000</v>
      </c>
      <c r="R89" s="4809"/>
      <c r="AA89"/>
      <c r="AB89"/>
    </row>
    <row r="90" spans="1:28" ht="11.25" customHeight="1">
      <c r="H90" s="1234">
        <v>0.04</v>
      </c>
      <c r="I90" s="236"/>
      <c r="Q90" s="4811">
        <v>4000000</v>
      </c>
      <c r="R90" s="4811"/>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3">
        <v>3500000</v>
      </c>
      <c r="R92" s="480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8">
        <v>0.15</v>
      </c>
      <c r="R93" s="4799"/>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798">
        <v>0.15</v>
      </c>
      <c r="R94" s="479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8">
        <v>0.15</v>
      </c>
      <c r="R95" s="479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8">
        <v>0.15</v>
      </c>
      <c r="R96" s="479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8">
        <v>0.15</v>
      </c>
      <c r="R97" s="479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8">
        <v>0.15</v>
      </c>
      <c r="R98" s="479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8" t="s">
        <v>2184</v>
      </c>
      <c r="R99" s="479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00">
        <v>3000</v>
      </c>
      <c r="R105" s="480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4646</v>
      </c>
      <c r="K113" s="147"/>
      <c r="L113" s="147"/>
      <c r="M113" s="147"/>
      <c r="N113" s="147"/>
      <c r="O113" s="147"/>
      <c r="P113" s="144"/>
      <c r="Q113" s="4802">
        <v>0.02</v>
      </c>
      <c r="R113" s="480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0">
        <v>0.02</v>
      </c>
      <c r="R114" s="4790"/>
      <c r="AA114" s="68"/>
      <c r="AB114" s="68"/>
    </row>
    <row r="115" spans="1:28" s="236" customFormat="1" ht="11.65" customHeight="1">
      <c r="A115" s="147"/>
      <c r="B115" s="147" t="s">
        <v>4784</v>
      </c>
      <c r="C115" s="147"/>
      <c r="D115" s="147"/>
      <c r="E115" s="147"/>
      <c r="F115" s="147" t="s">
        <v>4782</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4783</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4">
        <v>0.03</v>
      </c>
      <c r="R117" s="478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4">
        <v>0.03</v>
      </c>
      <c r="R118" s="478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5">
        <v>0</v>
      </c>
      <c r="R119" s="4785"/>
      <c r="S119" s="236"/>
      <c r="T119" s="236"/>
      <c r="U119" s="236"/>
      <c r="AA119" s="68"/>
      <c r="AB119" s="68"/>
    </row>
    <row r="120" spans="1:28" s="145" customFormat="1" ht="11.45" customHeight="1">
      <c r="A120" s="144"/>
      <c r="B120" s="147" t="s">
        <v>4787</v>
      </c>
      <c r="C120" s="147"/>
      <c r="D120" s="147"/>
      <c r="E120" s="144"/>
      <c r="F120" s="147" t="s">
        <v>4788</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4789</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4758</v>
      </c>
      <c r="G125" s="147" t="s">
        <v>3221</v>
      </c>
      <c r="I125" s="144"/>
      <c r="J125" s="241" t="s">
        <v>4837</v>
      </c>
      <c r="K125" s="147"/>
      <c r="L125" s="147"/>
      <c r="M125" s="147"/>
      <c r="N125" s="147"/>
      <c r="P125" s="144"/>
      <c r="Q125" s="4786"/>
      <c r="R125" s="4786"/>
      <c r="S125" s="4786"/>
      <c r="T125" s="4786"/>
      <c r="U125" s="144"/>
      <c r="V125" s="702"/>
      <c r="W125" s="702"/>
      <c r="X125" s="148"/>
      <c r="AA125" s="68"/>
      <c r="AB125" s="68"/>
    </row>
    <row r="126" spans="1:28" s="145" customFormat="1" ht="11.65" customHeight="1">
      <c r="A126" s="229"/>
      <c r="B126" s="147"/>
      <c r="C126" s="147"/>
      <c r="D126" s="144"/>
      <c r="F126" s="147"/>
      <c r="G126" s="147" t="s">
        <v>3650</v>
      </c>
      <c r="I126" s="144"/>
      <c r="J126" s="241" t="s">
        <v>4838</v>
      </c>
      <c r="K126" s="147"/>
      <c r="L126" s="147"/>
      <c r="M126" s="147"/>
      <c r="P126" s="144"/>
      <c r="Q126" s="4786"/>
      <c r="R126" s="4786"/>
      <c r="S126" s="4786"/>
      <c r="T126" s="478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4757</v>
      </c>
      <c r="F128" s="147" t="s">
        <v>477</v>
      </c>
      <c r="G128" s="147" t="s">
        <v>2387</v>
      </c>
      <c r="I128" s="144"/>
      <c r="J128" s="147" t="s">
        <v>2438</v>
      </c>
      <c r="K128" s="147"/>
      <c r="L128" s="147"/>
      <c r="M128" s="147"/>
      <c r="N128" s="147"/>
      <c r="O128" s="147"/>
      <c r="P128" s="144"/>
      <c r="Q128" s="4796">
        <v>0.15</v>
      </c>
      <c r="R128" s="4796"/>
      <c r="S128" s="144"/>
      <c r="T128" s="144"/>
      <c r="U128" s="144"/>
      <c r="V128" s="702"/>
      <c r="W128" s="702"/>
      <c r="X128" s="148"/>
      <c r="AA128" s="68"/>
      <c r="AB128" s="68"/>
    </row>
    <row r="129" spans="1:28" s="145" customFormat="1" ht="11.65" customHeight="1">
      <c r="A129" s="147"/>
      <c r="B129" s="147"/>
      <c r="C129" s="147"/>
      <c r="D129" s="144"/>
      <c r="E129" s="144"/>
      <c r="F129" s="147"/>
      <c r="G129" s="147" t="s">
        <v>4401</v>
      </c>
      <c r="H129" s="147" t="s">
        <v>4752</v>
      </c>
      <c r="J129" s="147" t="s">
        <v>4408</v>
      </c>
      <c r="K129" s="147"/>
      <c r="L129" s="147"/>
      <c r="M129" s="147"/>
      <c r="O129" s="231" t="s">
        <v>4839</v>
      </c>
      <c r="P129" s="144"/>
      <c r="Q129" s="4797">
        <v>1105000</v>
      </c>
      <c r="R129" s="4797"/>
      <c r="S129" s="230"/>
      <c r="T129" s="230"/>
      <c r="U129" s="144"/>
      <c r="V129" s="321"/>
      <c r="W129" s="321"/>
      <c r="X129" s="321"/>
      <c r="AA129" s="68"/>
      <c r="AB129" s="68"/>
    </row>
    <row r="130" spans="1:28" s="145" customFormat="1" ht="11.65" customHeight="1">
      <c r="A130" s="147"/>
      <c r="B130" s="147"/>
      <c r="C130" s="147"/>
      <c r="D130" s="144"/>
      <c r="E130" s="144"/>
      <c r="F130" s="147"/>
      <c r="G130" s="147"/>
      <c r="H130" s="147" t="s">
        <v>3999</v>
      </c>
      <c r="J130" s="147" t="s">
        <v>4408</v>
      </c>
      <c r="K130" s="147"/>
      <c r="L130" s="147"/>
      <c r="M130" s="147"/>
      <c r="O130" s="231" t="s">
        <v>4840</v>
      </c>
      <c r="P130" s="144"/>
      <c r="Q130" s="4787">
        <v>1225000</v>
      </c>
      <c r="R130" s="4787"/>
      <c r="S130" s="230"/>
      <c r="T130" s="230"/>
      <c r="U130" s="144"/>
      <c r="V130" s="321"/>
      <c r="W130" s="321"/>
      <c r="X130" s="321"/>
      <c r="AA130" s="68"/>
      <c r="AB130" s="68"/>
    </row>
    <row r="131" spans="1:28" s="145" customFormat="1" ht="11.65" customHeight="1">
      <c r="A131" s="147"/>
      <c r="B131" s="147"/>
      <c r="C131" s="147"/>
      <c r="D131" s="144"/>
      <c r="E131" s="144"/>
      <c r="F131" s="147"/>
      <c r="G131" s="147"/>
      <c r="H131" s="147" t="s">
        <v>4403</v>
      </c>
      <c r="I131" s="144"/>
      <c r="J131" s="147" t="s">
        <v>4408</v>
      </c>
      <c r="K131" s="147"/>
      <c r="O131" s="231" t="s">
        <v>4841</v>
      </c>
      <c r="Q131" s="4787">
        <v>1105000</v>
      </c>
      <c r="R131" s="4787"/>
      <c r="S131" s="230"/>
      <c r="T131" s="230"/>
      <c r="U131" s="144"/>
      <c r="V131" s="321"/>
      <c r="W131" s="321"/>
      <c r="X131" s="321"/>
      <c r="AA131" s="68"/>
      <c r="AB131" s="68"/>
    </row>
    <row r="132" spans="1:28" s="145" customFormat="1" ht="11.65" customHeight="1">
      <c r="A132" s="147"/>
      <c r="B132" s="147"/>
      <c r="C132" s="147"/>
      <c r="D132" s="144"/>
      <c r="E132" s="144"/>
      <c r="F132" s="147"/>
      <c r="G132" s="147"/>
      <c r="H132" s="147" t="s">
        <v>4402</v>
      </c>
      <c r="I132" s="144"/>
      <c r="J132" s="147" t="s">
        <v>4408</v>
      </c>
      <c r="K132" s="147"/>
      <c r="O132" s="231" t="s">
        <v>4840</v>
      </c>
      <c r="Q132" s="4788">
        <v>1105000</v>
      </c>
      <c r="R132" s="4789"/>
      <c r="S132" s="230"/>
      <c r="T132" s="230"/>
      <c r="U132" s="144"/>
      <c r="V132" s="321"/>
      <c r="W132" s="321"/>
      <c r="X132" s="321"/>
      <c r="AA132" s="68"/>
      <c r="AB132" s="68"/>
    </row>
    <row r="133" spans="1:28" s="145" customFormat="1" ht="11.65" customHeight="1">
      <c r="A133" s="147"/>
      <c r="B133" s="147"/>
      <c r="C133" s="147"/>
      <c r="D133" s="144"/>
      <c r="E133" s="144"/>
      <c r="F133" s="147"/>
      <c r="G133" s="147" t="s">
        <v>4763</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0">
        <v>0.35</v>
      </c>
      <c r="K134" s="4790"/>
      <c r="L134" s="147"/>
      <c r="M134" s="147"/>
      <c r="N134" s="147"/>
      <c r="O134" s="147"/>
      <c r="P134" s="147"/>
      <c r="Q134" s="147"/>
      <c r="R134" s="147"/>
    </row>
    <row r="135" spans="1:28" ht="11.25" customHeight="1">
      <c r="G135" s="147"/>
      <c r="H135" s="147" t="s">
        <v>4000</v>
      </c>
      <c r="I135" s="144"/>
      <c r="J135" s="4784">
        <v>0.35</v>
      </c>
      <c r="K135" s="4784"/>
      <c r="L135" s="147"/>
      <c r="M135" s="147"/>
      <c r="N135" s="147"/>
      <c r="O135" s="147"/>
      <c r="P135" s="147"/>
      <c r="Q135" s="147"/>
      <c r="R135" s="147"/>
    </row>
    <row r="136" spans="1:28" ht="11.25" customHeight="1">
      <c r="A136" s="229"/>
      <c r="G136" s="147"/>
      <c r="H136" s="147" t="s">
        <v>2938</v>
      </c>
      <c r="I136" s="144"/>
      <c r="J136" s="4781">
        <v>0.3</v>
      </c>
      <c r="K136" s="478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4759</v>
      </c>
      <c r="E138" s="144"/>
      <c r="G138" s="147" t="s">
        <v>4753</v>
      </c>
      <c r="I138" s="144"/>
      <c r="J138" s="147" t="s">
        <v>4754</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4756</v>
      </c>
      <c r="I139" s="144"/>
      <c r="J139" s="147" t="s">
        <v>4755</v>
      </c>
      <c r="P139" s="646" t="s">
        <v>4842</v>
      </c>
      <c r="Q139" s="4791">
        <v>30000000</v>
      </c>
      <c r="R139" s="4791"/>
      <c r="S139" s="144"/>
      <c r="T139" s="144"/>
      <c r="U139" s="144"/>
      <c r="V139" s="702"/>
      <c r="W139" s="702"/>
      <c r="X139" s="148"/>
      <c r="AA139" s="68"/>
      <c r="AB139" s="68"/>
    </row>
    <row r="140" spans="1:28" s="145" customFormat="1" ht="11.25" customHeight="1">
      <c r="A140" s="229"/>
      <c r="B140" s="147"/>
      <c r="C140" s="147"/>
      <c r="D140" s="144"/>
      <c r="E140" s="144"/>
      <c r="G140" s="147" t="s">
        <v>4760</v>
      </c>
      <c r="I140" s="144"/>
      <c r="J140" s="147" t="s">
        <v>4761</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4762</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4407</v>
      </c>
      <c r="H143" s="147"/>
      <c r="I143" s="144"/>
      <c r="J143" s="147" t="s">
        <v>4409</v>
      </c>
      <c r="K143" s="147"/>
      <c r="L143" s="147"/>
      <c r="M143" s="147"/>
      <c r="N143" s="147"/>
      <c r="O143" s="147"/>
      <c r="P143" s="144"/>
      <c r="Q143" s="4792"/>
      <c r="R143" s="479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3227</v>
      </c>
      <c r="K144" s="147"/>
      <c r="L144" s="147"/>
      <c r="M144" s="147"/>
      <c r="N144" s="147"/>
      <c r="O144" s="147"/>
      <c r="P144" s="144"/>
      <c r="Q144" s="4794">
        <v>4000000</v>
      </c>
      <c r="R144" s="4794"/>
      <c r="S144" s="230"/>
      <c r="T144" s="230"/>
      <c r="U144" s="144"/>
      <c r="V144" s="321"/>
      <c r="W144" s="321"/>
      <c r="X144" s="321"/>
      <c r="AA144" s="68"/>
      <c r="AB144" s="68"/>
    </row>
    <row r="145" spans="1:28" s="145" customFormat="1" ht="11.65" customHeight="1">
      <c r="A145" s="147"/>
      <c r="B145" s="147"/>
      <c r="C145" s="147"/>
      <c r="D145" s="144"/>
      <c r="E145" s="144"/>
      <c r="F145" s="147"/>
      <c r="G145" s="147" t="s">
        <v>4406</v>
      </c>
      <c r="H145" s="144"/>
      <c r="I145" s="144"/>
      <c r="J145" s="147" t="s">
        <v>4408</v>
      </c>
      <c r="K145" s="147"/>
      <c r="O145" s="147" t="s">
        <v>4404</v>
      </c>
      <c r="Q145" s="4788">
        <v>1035000</v>
      </c>
      <c r="R145" s="478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795">
        <v>0.05</v>
      </c>
      <c r="R147" s="4795"/>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782">
        <v>0.4</v>
      </c>
      <c r="R148" s="4782"/>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783">
        <v>0.02</v>
      </c>
      <c r="R149" s="4783"/>
      <c r="S149" s="144"/>
      <c r="T149" s="144"/>
      <c r="U149" s="144"/>
      <c r="V149" s="702"/>
      <c r="W149" s="702"/>
      <c r="X149" s="148"/>
      <c r="AA149" s="68"/>
      <c r="AB149" s="68"/>
    </row>
    <row r="150" spans="1:28" s="145" customFormat="1" ht="12.75" customHeight="1">
      <c r="A150" s="4776" t="s">
        <v>4644</v>
      </c>
      <c r="B150" s="4776"/>
      <c r="C150" s="1910"/>
      <c r="D150" s="4777" t="s">
        <v>4643</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6"/>
      <c r="B151" s="4776"/>
      <c r="C151" s="2067">
        <v>2024</v>
      </c>
      <c r="D151" s="4778"/>
      <c r="E151" s="239"/>
      <c r="F151" s="239"/>
      <c r="G151" s="239"/>
      <c r="H151" s="239"/>
      <c r="I151" s="239"/>
    </row>
    <row r="152" spans="1:28" ht="13.5">
      <c r="A152" s="4776"/>
      <c r="B152" s="4776"/>
      <c r="C152" s="147"/>
      <c r="D152" s="4778"/>
      <c r="H152" s="4779" t="s">
        <v>4642</v>
      </c>
      <c r="J152" s="142" t="s">
        <v>747</v>
      </c>
      <c r="K152" s="142"/>
      <c r="L152" s="223"/>
    </row>
    <row r="153" spans="1:28" ht="13.5">
      <c r="A153" s="4776"/>
      <c r="B153" s="4776"/>
      <c r="C153" s="702" t="s">
        <v>750</v>
      </c>
      <c r="D153" s="1241" t="s">
        <v>2923</v>
      </c>
      <c r="F153" s="702" t="s">
        <v>4640</v>
      </c>
      <c r="H153" s="4780"/>
      <c r="J153" s="312" t="s">
        <v>750</v>
      </c>
      <c r="K153" s="312" t="s">
        <v>748</v>
      </c>
      <c r="L153" s="313" t="s">
        <v>749</v>
      </c>
    </row>
    <row r="154" spans="1:28" ht="10.5" customHeight="1">
      <c r="C154" s="321">
        <v>0</v>
      </c>
      <c r="D154" s="650">
        <v>72088</v>
      </c>
      <c r="E154" s="1243" t="s">
        <v>4641</v>
      </c>
      <c r="F154" s="1909">
        <v>2.4</v>
      </c>
      <c r="G154" s="878" t="s">
        <v>1210</v>
      </c>
      <c r="H154" s="1911">
        <f>D154*F154</f>
        <v>173011.19999999998</v>
      </c>
      <c r="J154" s="321">
        <v>0</v>
      </c>
      <c r="K154" s="321">
        <v>0.7</v>
      </c>
      <c r="L154" s="321">
        <v>1</v>
      </c>
    </row>
    <row r="155" spans="1:28" ht="10.5" customHeight="1">
      <c r="C155" s="321">
        <v>1</v>
      </c>
      <c r="D155" s="650">
        <v>82638</v>
      </c>
      <c r="E155" s="1243" t="s">
        <v>4641</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4641</v>
      </c>
      <c r="F156" s="1909">
        <v>2.4</v>
      </c>
      <c r="G156" s="878" t="s">
        <v>1210</v>
      </c>
      <c r="H156" s="1911">
        <f t="shared" si="0"/>
        <v>241176</v>
      </c>
      <c r="J156" s="321">
        <v>2</v>
      </c>
      <c r="K156" s="321">
        <v>0.9</v>
      </c>
      <c r="L156" s="321">
        <v>3</v>
      </c>
    </row>
    <row r="157" spans="1:28" ht="10.5" customHeight="1">
      <c r="C157" s="321">
        <v>3</v>
      </c>
      <c r="D157" s="650">
        <v>130002</v>
      </c>
      <c r="E157" s="1243" t="s">
        <v>4641</v>
      </c>
      <c r="F157" s="1909">
        <v>2.4</v>
      </c>
      <c r="G157" s="878" t="s">
        <v>1210</v>
      </c>
      <c r="H157" s="1911">
        <f t="shared" si="0"/>
        <v>312004.8</v>
      </c>
      <c r="J157" s="321">
        <v>3</v>
      </c>
      <c r="K157" s="321">
        <v>1.04</v>
      </c>
      <c r="L157" s="321">
        <v>4.5</v>
      </c>
    </row>
    <row r="158" spans="1:28" ht="10.5" customHeight="1">
      <c r="C158" s="321" t="s">
        <v>2924</v>
      </c>
      <c r="D158" s="650">
        <v>142701</v>
      </c>
      <c r="E158" s="1243" t="s">
        <v>4641</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5" t="s">
        <v>3312</v>
      </c>
      <c r="E162" s="236"/>
      <c r="F162" s="236"/>
    </row>
    <row r="163" spans="2:37" ht="10.5" customHeight="1">
      <c r="C163" s="3355"/>
      <c r="E163" s="236"/>
      <c r="F163" s="236"/>
    </row>
    <row r="164" spans="2:37" ht="10.5" customHeight="1">
      <c r="C164" s="3355"/>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4616</v>
      </c>
      <c r="J169" s="777" t="s">
        <v>2394</v>
      </c>
      <c r="K169" s="775" t="s">
        <v>4617</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4618</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4618</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4619</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4620</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4618</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4621</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4618</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4618</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4618</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4620</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4618</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4619</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4618</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4618</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4618</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4618</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4618</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4618</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4618</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4621</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4618</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4618</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4622</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4618</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4619</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4623</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4621</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4620</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4621</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4618</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3654</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4618</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4624</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4618</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4618</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4620</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4618</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4618</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4625</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4626</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4619</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4618</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3655</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3989</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3656</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3657</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zoomScaleNormal="100" workbookViewId="0">
      <selection activeCell="H25" sqref="H25:K2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4202</v>
      </c>
      <c r="C1" s="1651"/>
      <c r="D1" s="1651"/>
      <c r="E1" s="1651" t="s">
        <v>4221</v>
      </c>
      <c r="F1" s="1651"/>
      <c r="G1" s="1652"/>
      <c r="H1" s="1652" t="s">
        <v>4222</v>
      </c>
      <c r="I1" s="1652" t="s">
        <v>4223</v>
      </c>
      <c r="J1" s="1652"/>
      <c r="K1" s="1652" t="s">
        <v>4224</v>
      </c>
      <c r="L1" s="1652" t="s">
        <v>4225</v>
      </c>
      <c r="M1" s="1653" t="s">
        <v>4226</v>
      </c>
      <c r="N1" s="1653" t="s">
        <v>4227</v>
      </c>
      <c r="P1" s="1653" t="s">
        <v>4228</v>
      </c>
      <c r="Y1" s="2474"/>
      <c r="Z1" s="1618">
        <v>1</v>
      </c>
    </row>
    <row r="2" spans="1:52" s="223" customFormat="1" ht="14.1" customHeight="1">
      <c r="A2" s="3001" t="str">
        <f>CONCATENATE("PART TWO - SOURCES OF FUNDS (Proposed)","  -  ",'Part I-Project Identification'!$O$7," ",'Part I-Project Identification'!$F$26,", ",'Part I-Project Identification'!$F$27,", ",'Part I-Project Identification'!$J$27," County")</f>
        <v>PART TWO - SOURCES OF FUNDS (Proposed)  -  2024-0 Wesley Square, Norcross, Gwinnett County</v>
      </c>
      <c r="B2" s="3002"/>
      <c r="C2" s="3002"/>
      <c r="D2" s="3002"/>
      <c r="E2" s="3002"/>
      <c r="F2" s="3002"/>
      <c r="G2" s="3002"/>
      <c r="H2" s="3002"/>
      <c r="I2" s="3002"/>
      <c r="J2" s="3002"/>
      <c r="K2" s="3002"/>
      <c r="L2" s="3002"/>
      <c r="M2" s="3002"/>
      <c r="N2" s="3002"/>
      <c r="O2" s="3002"/>
      <c r="P2" s="3002"/>
      <c r="Q2" s="3003"/>
      <c r="S2" s="3202" t="str">
        <f>$A$2</f>
        <v>PART TWO - SOURCES OF FUNDS (Proposed)  -  2024-0 Wesley Square, Norcross, Gwinnett County</v>
      </c>
      <c r="T2" s="3202"/>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3" t="str">
        <f>'Part I-Project Identification'!$A$6</f>
        <v>2024 May 7</v>
      </c>
      <c r="M4" s="3204"/>
      <c r="N4" s="3204"/>
      <c r="O4" s="3204"/>
      <c r="P4" s="3205"/>
      <c r="S4" s="258" t="str">
        <f>B4</f>
        <v>GOVERNMENT FUNDING SOURCES  (check all that apply)</v>
      </c>
      <c r="Y4" s="2475"/>
      <c r="Z4" s="1618">
        <v>4</v>
      </c>
      <c r="AZ4" s="1588"/>
    </row>
    <row r="5" spans="1:52" s="223" customFormat="1" ht="15.75" customHeight="1">
      <c r="A5" s="253"/>
      <c r="B5" s="374"/>
      <c r="C5" s="253"/>
      <c r="D5" s="144"/>
      <c r="E5" s="144"/>
      <c r="F5" s="144"/>
      <c r="G5" s="144"/>
      <c r="S5" s="3155" t="s">
        <v>2441</v>
      </c>
      <c r="T5" s="3155"/>
      <c r="Y5" s="2475"/>
      <c r="Z5" s="1618">
        <v>5</v>
      </c>
      <c r="AZ5" s="1588"/>
    </row>
    <row r="6" spans="1:52" s="223" customFormat="1" ht="16.5" customHeight="1">
      <c r="A6" s="374"/>
      <c r="B6" s="1173" t="s">
        <v>2641</v>
      </c>
      <c r="C6" s="224" t="s">
        <v>2213</v>
      </c>
      <c r="D6" s="144"/>
      <c r="E6" s="1173" t="s">
        <v>2644</v>
      </c>
      <c r="F6" s="224" t="s">
        <v>3979</v>
      </c>
      <c r="G6" s="144"/>
      <c r="I6" s="3206"/>
      <c r="J6" s="3207"/>
      <c r="L6" s="1173" t="s">
        <v>2644</v>
      </c>
      <c r="M6" s="224" t="s">
        <v>1435</v>
      </c>
      <c r="Q6" s="1532"/>
      <c r="S6" s="3112"/>
      <c r="T6" s="3113"/>
      <c r="Y6" s="2475"/>
      <c r="Z6" s="1618">
        <v>6</v>
      </c>
      <c r="AZ6" s="1588"/>
    </row>
    <row r="7" spans="1:52" s="223" customFormat="1" ht="16.5" customHeight="1">
      <c r="A7" s="374"/>
      <c r="B7" s="810" t="s">
        <v>2644</v>
      </c>
      <c r="C7" s="224" t="s">
        <v>3751</v>
      </c>
      <c r="D7" s="144"/>
      <c r="E7" s="805" t="s">
        <v>2644</v>
      </c>
      <c r="F7" s="224" t="s">
        <v>3980</v>
      </c>
      <c r="I7" s="3208"/>
      <c r="J7" s="3209"/>
      <c r="L7" s="810" t="s">
        <v>2644</v>
      </c>
      <c r="M7" s="224" t="s">
        <v>513</v>
      </c>
      <c r="P7" s="1532"/>
      <c r="Q7" s="1532"/>
      <c r="S7" s="3098"/>
      <c r="T7" s="3099"/>
      <c r="Y7" s="2475"/>
      <c r="Z7" s="1618">
        <v>7</v>
      </c>
      <c r="AZ7" s="1588"/>
    </row>
    <row r="8" spans="1:52" s="223" customFormat="1" ht="16.5" customHeight="1">
      <c r="A8" s="144"/>
      <c r="B8" s="810" t="s">
        <v>2644</v>
      </c>
      <c r="C8" s="224" t="s">
        <v>4553</v>
      </c>
      <c r="F8" s="223" t="s">
        <v>4555</v>
      </c>
      <c r="H8" s="3210" t="s">
        <v>2981</v>
      </c>
      <c r="I8" s="3211"/>
      <c r="J8" s="3212"/>
      <c r="L8" s="810" t="s">
        <v>2644</v>
      </c>
      <c r="M8" s="224" t="s">
        <v>4557</v>
      </c>
      <c r="P8" s="1532"/>
      <c r="Q8" s="1532"/>
      <c r="S8" s="3098"/>
      <c r="T8" s="3099"/>
      <c r="Y8" s="2475"/>
      <c r="Z8" s="1618">
        <v>8</v>
      </c>
      <c r="AZ8" s="1588"/>
    </row>
    <row r="9" spans="1:52" s="223" customFormat="1" ht="16.5" customHeight="1">
      <c r="A9" s="374"/>
      <c r="B9" s="810" t="s">
        <v>2644</v>
      </c>
      <c r="C9" s="223" t="s">
        <v>3215</v>
      </c>
      <c r="E9" s="1176" t="s">
        <v>2644</v>
      </c>
      <c r="F9" s="3213" t="s">
        <v>4552</v>
      </c>
      <c r="G9" s="3214"/>
      <c r="H9" s="3193"/>
      <c r="I9" s="3193"/>
      <c r="J9" s="3194"/>
      <c r="L9" s="810" t="s">
        <v>2644</v>
      </c>
      <c r="M9" s="224" t="s">
        <v>3752</v>
      </c>
      <c r="Q9" s="1532"/>
      <c r="S9" s="3100"/>
      <c r="T9" s="3101"/>
      <c r="Y9" s="2475"/>
      <c r="Z9" s="1618">
        <v>9</v>
      </c>
      <c r="AZ9" s="1588"/>
    </row>
    <row r="10" spans="1:52" s="223" customFormat="1" ht="16.5" customHeight="1">
      <c r="A10" s="374"/>
      <c r="B10" s="810" t="s">
        <v>2644</v>
      </c>
      <c r="C10" s="224" t="s">
        <v>2388</v>
      </c>
      <c r="F10" s="3190" t="s">
        <v>3648</v>
      </c>
      <c r="G10" s="3191"/>
      <c r="H10" s="3191"/>
      <c r="I10" s="3191"/>
      <c r="J10" s="3192"/>
      <c r="L10" s="810" t="s">
        <v>2644</v>
      </c>
      <c r="M10" s="224" t="s">
        <v>3107</v>
      </c>
      <c r="P10" s="1532"/>
      <c r="Q10" s="1532"/>
      <c r="S10" s="3112"/>
      <c r="T10" s="3113"/>
      <c r="Y10" s="2475"/>
      <c r="Z10" s="1618">
        <v>10</v>
      </c>
      <c r="AZ10" s="1588"/>
    </row>
    <row r="11" spans="1:52" s="223" customFormat="1" ht="16.5" customHeight="1">
      <c r="A11" s="374"/>
      <c r="B11" s="810" t="s">
        <v>2644</v>
      </c>
      <c r="C11" s="224" t="s">
        <v>2389</v>
      </c>
      <c r="E11" s="1176" t="s">
        <v>2641</v>
      </c>
      <c r="F11" s="3193" t="s">
        <v>5206</v>
      </c>
      <c r="G11" s="3193"/>
      <c r="H11" s="3193"/>
      <c r="I11" s="3193"/>
      <c r="J11" s="3194"/>
      <c r="L11" s="810" t="s">
        <v>2644</v>
      </c>
      <c r="M11" s="223" t="s">
        <v>2392</v>
      </c>
      <c r="S11" s="3098"/>
      <c r="T11" s="3099"/>
      <c r="Y11" s="2475"/>
      <c r="Z11" s="1618">
        <v>11</v>
      </c>
      <c r="AZ11" s="1588"/>
    </row>
    <row r="12" spans="1:52" s="223" customFormat="1" ht="16.5" customHeight="1">
      <c r="A12" s="374"/>
      <c r="B12" s="810" t="s">
        <v>2644</v>
      </c>
      <c r="C12" s="224" t="s">
        <v>3108</v>
      </c>
      <c r="F12" s="3195" t="s">
        <v>5207</v>
      </c>
      <c r="G12" s="3196"/>
      <c r="H12" s="3197"/>
      <c r="I12" s="3197"/>
      <c r="J12" s="3198"/>
      <c r="L12" s="810" t="s">
        <v>2644</v>
      </c>
      <c r="M12" s="223" t="s">
        <v>3134</v>
      </c>
      <c r="S12" s="3098"/>
      <c r="T12" s="3099"/>
      <c r="Y12" s="2475"/>
      <c r="Z12" s="1618">
        <v>12</v>
      </c>
      <c r="AZ12" s="1588"/>
    </row>
    <row r="13" spans="1:52" s="223" customFormat="1" ht="16.5" customHeight="1">
      <c r="A13" s="374"/>
      <c r="B13" s="810" t="s">
        <v>2644</v>
      </c>
      <c r="C13" s="224" t="s">
        <v>4554</v>
      </c>
      <c r="E13" s="1173" t="s">
        <v>2644</v>
      </c>
      <c r="F13" s="224" t="s">
        <v>4556</v>
      </c>
      <c r="H13" s="3195" t="s">
        <v>3206</v>
      </c>
      <c r="I13" s="3196"/>
      <c r="J13" s="3199"/>
      <c r="L13" s="810" t="s">
        <v>2644</v>
      </c>
      <c r="M13" s="223" t="s">
        <v>3978</v>
      </c>
      <c r="S13" s="3098"/>
      <c r="T13" s="3099"/>
      <c r="Y13" s="2475"/>
      <c r="Z13" s="1618">
        <v>13</v>
      </c>
      <c r="AZ13" s="1588"/>
    </row>
    <row r="14" spans="1:52" s="223" customFormat="1" ht="16.5" customHeight="1">
      <c r="A14" s="374"/>
      <c r="B14" s="810" t="s">
        <v>2644</v>
      </c>
      <c r="C14" s="223" t="s">
        <v>2391</v>
      </c>
      <c r="E14" s="810" t="s">
        <v>2644</v>
      </c>
      <c r="F14" s="224" t="s">
        <v>3214</v>
      </c>
      <c r="L14" s="810" t="s">
        <v>2644</v>
      </c>
      <c r="M14" s="223" t="s">
        <v>4602</v>
      </c>
      <c r="S14" s="3100"/>
      <c r="T14" s="3101"/>
      <c r="Y14" s="2475"/>
      <c r="Z14" s="1618">
        <v>14</v>
      </c>
      <c r="AZ14" s="1588"/>
    </row>
    <row r="15" spans="1:52" s="223" customFormat="1" ht="16.5" customHeight="1">
      <c r="A15" s="374"/>
      <c r="B15" s="810" t="s">
        <v>2644</v>
      </c>
      <c r="C15" s="223" t="s">
        <v>3133</v>
      </c>
      <c r="E15" s="810" t="s">
        <v>2644</v>
      </c>
      <c r="F15" s="224" t="s">
        <v>3981</v>
      </c>
      <c r="L15" s="810" t="s">
        <v>2644</v>
      </c>
      <c r="M15" s="1533" t="s">
        <v>3982</v>
      </c>
      <c r="Y15" s="2475"/>
      <c r="Z15" s="1618">
        <v>15</v>
      </c>
      <c r="AZ15" s="1588"/>
    </row>
    <row r="16" spans="1:52" s="223" customFormat="1" ht="16.5" customHeight="1">
      <c r="A16" s="374"/>
      <c r="B16" s="805" t="s">
        <v>2644</v>
      </c>
      <c r="C16" s="224" t="s">
        <v>1668</v>
      </c>
      <c r="E16" s="805" t="s">
        <v>2644</v>
      </c>
      <c r="F16" s="224" t="s">
        <v>4395</v>
      </c>
      <c r="I16" s="3200"/>
      <c r="J16" s="3201"/>
      <c r="L16" s="805" t="s">
        <v>2644</v>
      </c>
      <c r="M16" s="1533" t="s">
        <v>3977</v>
      </c>
      <c r="Y16" s="2475"/>
      <c r="Z16" s="1618">
        <v>16</v>
      </c>
      <c r="AZ16" s="1588"/>
    </row>
    <row r="17" spans="1:52" s="223" customFormat="1" ht="17.100000000000001" customHeight="1">
      <c r="A17" s="374"/>
      <c r="B17" s="223" t="s">
        <v>3753</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50"/>
      <c r="O19" s="3150"/>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5" t="s">
        <v>1218</v>
      </c>
      <c r="I21" s="3175"/>
      <c r="J21" s="3175"/>
      <c r="K21" s="3175"/>
      <c r="L21" s="3154" t="s">
        <v>3719</v>
      </c>
      <c r="M21" s="3154"/>
      <c r="N21" s="3154" t="s">
        <v>1408</v>
      </c>
      <c r="O21" s="3154"/>
      <c r="P21" s="3154" t="s">
        <v>1521</v>
      </c>
      <c r="Q21" s="3154"/>
      <c r="S21" s="3155" t="s">
        <v>2441</v>
      </c>
      <c r="T21" s="3155"/>
      <c r="Y21" s="2475"/>
      <c r="Z21" s="1618">
        <v>21</v>
      </c>
      <c r="AZ21" s="1588" t="s">
        <v>4236</v>
      </c>
    </row>
    <row r="22" spans="1:52" s="223" customFormat="1" ht="15.75" customHeight="1">
      <c r="A22" s="144"/>
      <c r="B22" s="3144" t="s">
        <v>1484</v>
      </c>
      <c r="C22" s="3145"/>
      <c r="D22" s="3145"/>
      <c r="E22" s="808"/>
      <c r="F22" s="808"/>
      <c r="G22" s="808"/>
      <c r="H22" s="3107" t="s">
        <v>5136</v>
      </c>
      <c r="I22" s="3108"/>
      <c r="J22" s="3108"/>
      <c r="K22" s="3109"/>
      <c r="L22" s="3184">
        <v>16500000</v>
      </c>
      <c r="M22" s="3185"/>
      <c r="N22" s="3186">
        <v>8.3099999999999993E-2</v>
      </c>
      <c r="O22" s="3187"/>
      <c r="P22" s="3188">
        <v>24</v>
      </c>
      <c r="Q22" s="3189"/>
      <c r="S22" s="3112"/>
      <c r="T22" s="3113"/>
      <c r="Y22" s="2475" t="s">
        <v>4236</v>
      </c>
      <c r="Z22" s="1618">
        <v>22</v>
      </c>
      <c r="AZ22" s="1588" t="s">
        <v>4237</v>
      </c>
    </row>
    <row r="23" spans="1:52" s="223" customFormat="1" ht="15.75" customHeight="1">
      <c r="A23" s="144"/>
      <c r="B23" s="3114" t="s">
        <v>1485</v>
      </c>
      <c r="C23" s="3115"/>
      <c r="D23" s="3115"/>
      <c r="E23" s="144"/>
      <c r="F23" s="144"/>
      <c r="G23" s="144"/>
      <c r="H23" s="3080"/>
      <c r="I23" s="3081"/>
      <c r="J23" s="3081"/>
      <c r="K23" s="3082"/>
      <c r="L23" s="3164"/>
      <c r="M23" s="3165"/>
      <c r="N23" s="3173"/>
      <c r="O23" s="3174"/>
      <c r="P23" s="3176"/>
      <c r="Q23" s="3177"/>
      <c r="S23" s="3098"/>
      <c r="T23" s="3099"/>
      <c r="Y23" s="2475" t="s">
        <v>4237</v>
      </c>
      <c r="Z23" s="1618">
        <v>23</v>
      </c>
      <c r="AZ23" s="1588" t="s">
        <v>4238</v>
      </c>
    </row>
    <row r="24" spans="1:52" s="223" customFormat="1" ht="15.75" customHeight="1">
      <c r="A24" s="144"/>
      <c r="B24" s="3178" t="s">
        <v>1486</v>
      </c>
      <c r="C24" s="3179"/>
      <c r="D24" s="3179"/>
      <c r="E24" s="813"/>
      <c r="F24" s="813"/>
      <c r="G24" s="813"/>
      <c r="H24" s="3088"/>
      <c r="I24" s="3089"/>
      <c r="J24" s="3089"/>
      <c r="K24" s="3090"/>
      <c r="L24" s="3156"/>
      <c r="M24" s="3157"/>
      <c r="N24" s="3180"/>
      <c r="O24" s="3181"/>
      <c r="P24" s="3182"/>
      <c r="Q24" s="3183"/>
      <c r="S24" s="3098"/>
      <c r="T24" s="3099"/>
      <c r="Y24" s="2475" t="s">
        <v>4238</v>
      </c>
      <c r="Z24" s="1618">
        <v>24</v>
      </c>
      <c r="AZ24" s="1588" t="s">
        <v>4239</v>
      </c>
    </row>
    <row r="25" spans="1:52" s="223" customFormat="1" ht="15.75" customHeight="1">
      <c r="A25" s="144"/>
      <c r="B25" s="3144" t="s">
        <v>2042</v>
      </c>
      <c r="C25" s="3145"/>
      <c r="D25" s="3145"/>
      <c r="E25" s="144"/>
      <c r="F25" s="144"/>
      <c r="G25" s="144"/>
      <c r="H25" s="3168" t="s">
        <v>5217</v>
      </c>
      <c r="I25" s="3169"/>
      <c r="J25" s="3169"/>
      <c r="K25" s="3170"/>
      <c r="L25" s="3171">
        <v>1640000</v>
      </c>
      <c r="M25" s="3172"/>
      <c r="N25" s="3166"/>
      <c r="O25" s="3167"/>
      <c r="P25" s="3150"/>
      <c r="Q25" s="3150"/>
      <c r="S25" s="3098"/>
      <c r="T25" s="3099"/>
      <c r="Y25" s="2475" t="s">
        <v>4239</v>
      </c>
      <c r="Z25" s="1618">
        <v>25</v>
      </c>
      <c r="AZ25" s="1588" t="s">
        <v>4240</v>
      </c>
    </row>
    <row r="26" spans="1:52" s="223" customFormat="1" ht="15.75" customHeight="1">
      <c r="A26" s="144"/>
      <c r="B26" s="3114" t="s">
        <v>744</v>
      </c>
      <c r="C26" s="3115"/>
      <c r="D26" s="3115"/>
      <c r="E26" s="144"/>
      <c r="H26" s="3080"/>
      <c r="I26" s="3081"/>
      <c r="J26" s="3081"/>
      <c r="K26" s="3082"/>
      <c r="L26" s="3164"/>
      <c r="M26" s="3165"/>
      <c r="N26" s="3166"/>
      <c r="O26" s="3167"/>
      <c r="P26" s="3150"/>
      <c r="Q26" s="3150"/>
      <c r="S26" s="3098"/>
      <c r="T26" s="3099"/>
      <c r="Y26" s="2475" t="s">
        <v>4240</v>
      </c>
      <c r="Z26" s="1618">
        <v>26</v>
      </c>
      <c r="AZ26" s="1588" t="s">
        <v>4241</v>
      </c>
    </row>
    <row r="27" spans="1:52" s="223" customFormat="1" ht="15.75" customHeight="1">
      <c r="A27" s="144"/>
      <c r="B27" s="3114" t="s">
        <v>594</v>
      </c>
      <c r="C27" s="3115"/>
      <c r="D27" s="3115"/>
      <c r="E27" s="144"/>
      <c r="H27" s="3080"/>
      <c r="I27" s="3081"/>
      <c r="J27" s="3081"/>
      <c r="K27" s="3082"/>
      <c r="L27" s="3164"/>
      <c r="M27" s="3165"/>
      <c r="N27" s="3166"/>
      <c r="O27" s="3167"/>
      <c r="P27" s="3150"/>
      <c r="Q27" s="3150"/>
      <c r="S27" s="3098"/>
      <c r="T27" s="3099"/>
      <c r="Y27" s="2475" t="s">
        <v>4241</v>
      </c>
      <c r="Z27" s="1618">
        <v>27</v>
      </c>
      <c r="AZ27" s="1588" t="s">
        <v>4242</v>
      </c>
    </row>
    <row r="28" spans="1:52" s="223" customFormat="1" ht="15.75" customHeight="1">
      <c r="A28" s="144"/>
      <c r="B28" s="3114" t="s">
        <v>745</v>
      </c>
      <c r="C28" s="3115"/>
      <c r="D28" s="3115"/>
      <c r="E28" s="144"/>
      <c r="H28" s="3080" t="s">
        <v>5137</v>
      </c>
      <c r="I28" s="3081"/>
      <c r="J28" s="3081"/>
      <c r="K28" s="3082"/>
      <c r="L28" s="3164">
        <f ca="1">I51*0.2</f>
        <v>2288000</v>
      </c>
      <c r="M28" s="3165"/>
      <c r="N28" s="144"/>
      <c r="Q28" s="144"/>
      <c r="S28" s="3100"/>
      <c r="T28" s="3101"/>
      <c r="Y28" s="2475" t="s">
        <v>4242</v>
      </c>
      <c r="Z28" s="1618">
        <v>28</v>
      </c>
      <c r="AZ28" s="1588" t="s">
        <v>4243</v>
      </c>
    </row>
    <row r="29" spans="1:52" s="223" customFormat="1" ht="15.75" customHeight="1">
      <c r="A29" s="144"/>
      <c r="B29" s="3114" t="s">
        <v>746</v>
      </c>
      <c r="C29" s="3115"/>
      <c r="D29" s="3115"/>
      <c r="E29" s="144"/>
      <c r="H29" s="3080" t="s">
        <v>5137</v>
      </c>
      <c r="I29" s="3081"/>
      <c r="J29" s="3081"/>
      <c r="K29" s="3082"/>
      <c r="L29" s="3164">
        <f ca="1">I52*0.2</f>
        <v>1430000.0000000002</v>
      </c>
      <c r="M29" s="3165"/>
      <c r="N29" s="144"/>
      <c r="Q29" s="144"/>
      <c r="S29" s="3112"/>
      <c r="T29" s="3113"/>
      <c r="Y29" s="2475" t="s">
        <v>4243</v>
      </c>
      <c r="Z29" s="1618">
        <v>29</v>
      </c>
      <c r="AZ29" s="1588" t="s">
        <v>4244</v>
      </c>
    </row>
    <row r="30" spans="1:52" s="223" customFormat="1" ht="15.75" customHeight="1">
      <c r="A30" s="144"/>
      <c r="B30" s="807" t="s">
        <v>232</v>
      </c>
      <c r="C30" s="144"/>
      <c r="D30" s="3102"/>
      <c r="E30" s="3102"/>
      <c r="F30" s="3102"/>
      <c r="G30" s="3102"/>
      <c r="H30" s="3080"/>
      <c r="I30" s="3081"/>
      <c r="J30" s="3081"/>
      <c r="K30" s="3082"/>
      <c r="L30" s="3164"/>
      <c r="M30" s="3165"/>
      <c r="N30" s="144"/>
      <c r="Q30" s="144"/>
      <c r="S30" s="3098"/>
      <c r="T30" s="3099"/>
      <c r="Y30" s="2475" t="s">
        <v>4244</v>
      </c>
      <c r="Z30" s="1618">
        <v>30</v>
      </c>
      <c r="AZ30" s="1588" t="s">
        <v>4245</v>
      </c>
    </row>
    <row r="31" spans="1:52" s="223" customFormat="1" ht="15.75" customHeight="1">
      <c r="A31" s="144"/>
      <c r="B31" s="807" t="s">
        <v>232</v>
      </c>
      <c r="C31" s="144"/>
      <c r="D31" s="3103"/>
      <c r="E31" s="3103"/>
      <c r="F31" s="3103"/>
      <c r="G31" s="3103"/>
      <c r="H31" s="3080"/>
      <c r="I31" s="3081"/>
      <c r="J31" s="3081"/>
      <c r="K31" s="3082"/>
      <c r="L31" s="3164"/>
      <c r="M31" s="3165"/>
      <c r="N31" s="144"/>
      <c r="S31" s="3098"/>
      <c r="T31" s="3099"/>
      <c r="Y31" s="2475" t="s">
        <v>4245</v>
      </c>
      <c r="Z31" s="1618">
        <v>31</v>
      </c>
      <c r="AZ31" s="1588" t="s">
        <v>4246</v>
      </c>
    </row>
    <row r="32" spans="1:52" s="223" customFormat="1" ht="15.75" customHeight="1">
      <c r="A32" s="144"/>
      <c r="B32" s="812" t="s">
        <v>232</v>
      </c>
      <c r="C32" s="813"/>
      <c r="D32" s="3087"/>
      <c r="E32" s="3087"/>
      <c r="F32" s="3087"/>
      <c r="G32" s="3087"/>
      <c r="H32" s="3088"/>
      <c r="I32" s="3089"/>
      <c r="J32" s="3089"/>
      <c r="K32" s="3090"/>
      <c r="L32" s="3156"/>
      <c r="M32" s="3157"/>
      <c r="N32" s="144"/>
      <c r="S32" s="3098"/>
      <c r="T32" s="3099"/>
      <c r="Y32" s="2475" t="s">
        <v>4246</v>
      </c>
      <c r="Z32" s="1618">
        <v>32</v>
      </c>
      <c r="AZ32" s="1588"/>
    </row>
    <row r="33" spans="1:52" s="223" customFormat="1" ht="16.5" customHeight="1">
      <c r="A33" s="144"/>
      <c r="B33" s="222" t="s">
        <v>1219</v>
      </c>
      <c r="C33" s="144"/>
      <c r="D33" s="144"/>
      <c r="E33" s="144"/>
      <c r="F33" s="144"/>
      <c r="G33" s="144"/>
      <c r="H33" s="144"/>
      <c r="I33" s="144"/>
      <c r="L33" s="3158">
        <f ca="1">SUM(L22:L32)</f>
        <v>21858000</v>
      </c>
      <c r="M33" s="3159"/>
      <c r="N33" s="145"/>
      <c r="S33" s="3098"/>
      <c r="T33" s="3099"/>
      <c r="Y33" s="2475"/>
      <c r="Z33" s="1618">
        <v>33</v>
      </c>
      <c r="AZ33" s="1588"/>
    </row>
    <row r="34" spans="1:52" s="223" customFormat="1" ht="16.5" customHeight="1">
      <c r="A34" s="144"/>
      <c r="B34" s="246" t="s">
        <v>1220</v>
      </c>
      <c r="C34" s="144"/>
      <c r="D34" s="144"/>
      <c r="E34" s="144"/>
      <c r="F34" s="144"/>
      <c r="G34" s="144"/>
      <c r="H34" s="144"/>
      <c r="I34" s="144"/>
      <c r="L34" s="3160">
        <f>'Part III-A-Uses of Funds'!$G$146-'Part III-A-Uses of Funds'!$G$103-'Part III-A-Uses of Funds'!$G$109-'Part III-A-Uses of Funds'!$G$130-'Part III-A-Uses of Funds'!$G$131-'Part III-A-Uses of Funds'!$G$132-'Part III-A-Uses of Funds'!$G$127+'Part III-A-Uses of Funds'!$F$123</f>
        <v>21609711</v>
      </c>
      <c r="M34" s="3161"/>
      <c r="N34" s="645"/>
      <c r="S34" s="3098"/>
      <c r="T34" s="3099"/>
      <c r="Y34" s="2475"/>
      <c r="Z34" s="1618">
        <v>34</v>
      </c>
      <c r="AZ34" s="1588"/>
    </row>
    <row r="35" spans="1:52" s="223" customFormat="1" ht="16.5" customHeight="1">
      <c r="A35" s="144"/>
      <c r="B35" s="246" t="s">
        <v>1997</v>
      </c>
      <c r="C35" s="144"/>
      <c r="D35" s="144"/>
      <c r="E35" s="144"/>
      <c r="F35" s="144"/>
      <c r="G35" s="144"/>
      <c r="H35" s="144"/>
      <c r="I35" s="144"/>
      <c r="L35" s="3162">
        <f ca="1">L33-L34</f>
        <v>248289</v>
      </c>
      <c r="M35" s="3163"/>
      <c r="N35" s="645"/>
      <c r="S35" s="3100"/>
      <c r="T35" s="3101"/>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50"/>
      <c r="I38" s="3150"/>
      <c r="K38" s="252" t="s">
        <v>1943</v>
      </c>
      <c r="L38" s="248" t="s">
        <v>1216</v>
      </c>
      <c r="M38" s="248" t="s">
        <v>1221</v>
      </c>
      <c r="P38" s="3151" t="s">
        <v>31</v>
      </c>
      <c r="Q38" s="3151"/>
      <c r="S38" s="258"/>
      <c r="Y38" s="2475"/>
      <c r="Z38" s="1618">
        <v>38</v>
      </c>
      <c r="AZ38" s="1588"/>
    </row>
    <row r="39" spans="1:52" s="223" customFormat="1" ht="13.35" customHeight="1">
      <c r="A39" s="144"/>
      <c r="B39" s="814" t="s">
        <v>1729</v>
      </c>
      <c r="C39" s="813"/>
      <c r="D39" s="813"/>
      <c r="E39" s="3153" t="s">
        <v>1218</v>
      </c>
      <c r="F39" s="3153"/>
      <c r="G39" s="3153"/>
      <c r="H39" s="3153"/>
      <c r="I39" s="3154" t="s">
        <v>3718</v>
      </c>
      <c r="J39" s="3154"/>
      <c r="K39" s="445" t="s">
        <v>1670</v>
      </c>
      <c r="L39" s="445" t="s">
        <v>2041</v>
      </c>
      <c r="M39" s="445" t="s">
        <v>2041</v>
      </c>
      <c r="N39" s="3154" t="s">
        <v>69</v>
      </c>
      <c r="O39" s="3154"/>
      <c r="P39" s="3152"/>
      <c r="Q39" s="3152"/>
      <c r="S39" s="3155" t="s">
        <v>2441</v>
      </c>
      <c r="T39" s="3155"/>
      <c r="Y39" s="2475"/>
      <c r="Z39" s="1618">
        <v>39</v>
      </c>
      <c r="AZ39" s="1588" t="s">
        <v>4247</v>
      </c>
    </row>
    <row r="40" spans="1:52" s="223" customFormat="1" ht="15" customHeight="1">
      <c r="A40" s="144"/>
      <c r="B40" s="3144" t="s">
        <v>2396</v>
      </c>
      <c r="C40" s="3145"/>
      <c r="D40" s="3145"/>
      <c r="E40" s="3107" t="s">
        <v>5196</v>
      </c>
      <c r="F40" s="3108"/>
      <c r="G40" s="3108"/>
      <c r="H40" s="3109"/>
      <c r="I40" s="3146">
        <v>3841375</v>
      </c>
      <c r="J40" s="3147"/>
      <c r="K40" s="642">
        <v>7.1999999999999995E-2</v>
      </c>
      <c r="L40" s="809">
        <v>15</v>
      </c>
      <c r="M40" s="809">
        <v>35</v>
      </c>
      <c r="N40" s="3148" t="s">
        <v>5138</v>
      </c>
      <c r="O40" s="3148"/>
      <c r="P40" s="3149">
        <f>IF(OR(I40&lt;=0,I40=""),"",IF(N40="Cash Flow",0,IF(N40="Amortizing",-PMT(K40/12,M40*12,I40,0,0)*12,"")))</f>
        <v>300978.66166959668</v>
      </c>
      <c r="Q40" s="3149"/>
      <c r="S40" s="3112"/>
      <c r="T40" s="3113"/>
      <c r="Y40" s="2475" t="s">
        <v>4247</v>
      </c>
      <c r="Z40" s="1618">
        <v>40</v>
      </c>
      <c r="AZ40" s="1588" t="s">
        <v>4248</v>
      </c>
    </row>
    <row r="41" spans="1:52" s="223" customFormat="1" ht="15" customHeight="1">
      <c r="A41" s="144"/>
      <c r="B41" s="3114" t="s">
        <v>2397</v>
      </c>
      <c r="C41" s="3115"/>
      <c r="D41" s="3115"/>
      <c r="E41" s="3080" t="s">
        <v>5217</v>
      </c>
      <c r="F41" s="3081"/>
      <c r="G41" s="3081"/>
      <c r="H41" s="3082"/>
      <c r="I41" s="3083">
        <v>1640000</v>
      </c>
      <c r="J41" s="3117"/>
      <c r="K41" s="643">
        <v>4.5499999999999999E-2</v>
      </c>
      <c r="L41" s="810">
        <v>20</v>
      </c>
      <c r="M41" s="810">
        <v>0</v>
      </c>
      <c r="N41" s="3143" t="s">
        <v>1095</v>
      </c>
      <c r="O41" s="3143"/>
      <c r="P41" s="3134">
        <f>IF(OR(I41&lt;=0,I41=""),"",IF(N41="Cash Flow",0,IF(N41="Amortizing",-PMT(K41/12,M41*12,I41,0,0)*12,"")))</f>
        <v>0</v>
      </c>
      <c r="Q41" s="3134"/>
      <c r="S41" s="3098"/>
      <c r="T41" s="3099"/>
      <c r="Y41" s="2475" t="s">
        <v>4248</v>
      </c>
      <c r="Z41" s="1618">
        <v>41</v>
      </c>
      <c r="AZ41" s="1588" t="s">
        <v>4249</v>
      </c>
    </row>
    <row r="42" spans="1:52" s="223" customFormat="1" ht="15" customHeight="1">
      <c r="A42" s="144"/>
      <c r="B42" s="3114" t="s">
        <v>2398</v>
      </c>
      <c r="C42" s="3115"/>
      <c r="D42" s="3115"/>
      <c r="E42" s="3080"/>
      <c r="F42" s="3081"/>
      <c r="G42" s="3081"/>
      <c r="H42" s="3082"/>
      <c r="I42" s="3083"/>
      <c r="J42" s="3117"/>
      <c r="K42" s="643"/>
      <c r="L42" s="810"/>
      <c r="M42" s="810"/>
      <c r="N42" s="3143"/>
      <c r="O42" s="3143"/>
      <c r="P42" s="3134" t="str">
        <f>IF(OR(I42&lt;=0,I42=""),"",IF(N42="Cash Flow",0,IF(N42="Amortizing",-PMT(K42/12,M42*12,I42,0,0)*12,"")))</f>
        <v/>
      </c>
      <c r="Q42" s="3134"/>
      <c r="S42" s="3098"/>
      <c r="T42" s="3099"/>
      <c r="Y42" s="2475" t="s">
        <v>4249</v>
      </c>
      <c r="Z42" s="1618">
        <v>42</v>
      </c>
      <c r="AZ42" s="1588" t="s">
        <v>4250</v>
      </c>
    </row>
    <row r="43" spans="1:52" s="223" customFormat="1" ht="15" customHeight="1">
      <c r="A43" s="144"/>
      <c r="B43" s="807" t="s">
        <v>689</v>
      </c>
      <c r="C43" s="3135"/>
      <c r="D43" s="3136"/>
      <c r="E43" s="3080"/>
      <c r="F43" s="3081"/>
      <c r="G43" s="3081"/>
      <c r="H43" s="3082"/>
      <c r="I43" s="3137"/>
      <c r="J43" s="3138"/>
      <c r="K43" s="644"/>
      <c r="L43" s="805"/>
      <c r="M43" s="805"/>
      <c r="N43" s="3139"/>
      <c r="O43" s="3139"/>
      <c r="P43" s="3140" t="str">
        <f>IF(OR(I43&lt;=0,I43=""),"",IF(N43="Cash Flow",0,IF(N43="Amortizing",-PMT(K43/12,M43*12,I43,0,0)*12,"")))</f>
        <v/>
      </c>
      <c r="Q43" s="3140"/>
      <c r="S43" s="3098"/>
      <c r="T43" s="3099"/>
      <c r="Y43" s="2475" t="s">
        <v>4250</v>
      </c>
      <c r="Z43" s="1618">
        <v>43</v>
      </c>
      <c r="AZ43" s="1588" t="s">
        <v>4251</v>
      </c>
    </row>
    <row r="44" spans="1:52" s="223" customFormat="1" ht="15" customHeight="1">
      <c r="A44" s="144"/>
      <c r="B44" s="807" t="s">
        <v>3817</v>
      </c>
      <c r="C44" s="144"/>
      <c r="D44" s="811"/>
      <c r="E44" s="3080"/>
      <c r="F44" s="3081"/>
      <c r="G44" s="3081"/>
      <c r="H44" s="3082"/>
      <c r="I44" s="3083"/>
      <c r="J44" s="3117"/>
      <c r="K44" s="363"/>
      <c r="L44" s="806"/>
      <c r="M44" s="806"/>
      <c r="N44" s="3141"/>
      <c r="O44" s="3141"/>
      <c r="P44" s="3142"/>
      <c r="Q44" s="3142"/>
      <c r="S44" s="3098"/>
      <c r="T44" s="3099"/>
      <c r="Y44" s="2475" t="s">
        <v>4251</v>
      </c>
      <c r="Z44" s="1618">
        <v>44</v>
      </c>
      <c r="AZ44" s="1588" t="s">
        <v>4252</v>
      </c>
    </row>
    <row r="45" spans="1:52" s="223" customFormat="1" ht="15" customHeight="1">
      <c r="A45" s="144"/>
      <c r="B45" s="812" t="s">
        <v>220</v>
      </c>
      <c r="C45" s="813"/>
      <c r="D45" s="300">
        <f>IF(OR(I45="",I45=0,'Part III-A-Uses of Funds'!$G$127="",'Part III-A-Uses of Funds'!$G$127=0),"",I45/'Part III-A-Uses of Funds'!$G$127)</f>
        <v>2.8414502164502163E-2</v>
      </c>
      <c r="E45" s="3088" t="s">
        <v>5192</v>
      </c>
      <c r="F45" s="3089"/>
      <c r="G45" s="3089"/>
      <c r="H45" s="3090"/>
      <c r="I45" s="3122">
        <v>52510</v>
      </c>
      <c r="J45" s="3123"/>
      <c r="K45" s="641">
        <v>0</v>
      </c>
      <c r="L45" s="640">
        <v>15</v>
      </c>
      <c r="M45" s="640">
        <v>15</v>
      </c>
      <c r="N45" s="2970" t="s">
        <v>1095</v>
      </c>
      <c r="O45" s="2971"/>
      <c r="P45" s="3124">
        <f>IF(OR(I45&lt;=0,I45=""),"",IF(N45="Cash Flow",0,IF(N45="Amortizing",-PMT(K45/12,M45*12,I45,0,0)*12,"")))</f>
        <v>0</v>
      </c>
      <c r="Q45" s="3125"/>
      <c r="S45" s="3098"/>
      <c r="T45" s="3099"/>
      <c r="Y45" s="2475" t="s">
        <v>4252</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8"/>
      <c r="T46" s="3099"/>
      <c r="Y46" s="2475"/>
      <c r="Z46" s="1618">
        <v>46</v>
      </c>
      <c r="AZ46" s="1588"/>
    </row>
    <row r="47" spans="1:52" s="223" customFormat="1" ht="15" customHeight="1">
      <c r="A47" s="144"/>
      <c r="B47" s="223" t="s">
        <v>3316</v>
      </c>
      <c r="C47" s="144"/>
      <c r="E47" s="223" t="s">
        <v>3274</v>
      </c>
      <c r="F47" s="3126">
        <f>IF(OR($I$45="",$I$45=0,'Part VI-Pro Forma'!$S$35=0,'Part VI-Pro Forma'!$S$35=""),"",VLOOKUP($L$45,'Part VI-Pro Forma'!$Q$21:$S$40,3))</f>
        <v>749458.48327678838</v>
      </c>
      <c r="G47" s="3127"/>
      <c r="H47" s="484" t="s">
        <v>3315</v>
      </c>
      <c r="I47" s="3126" t="str">
        <f>IF(OR($I$45="",$I$45=0,'Part VI-Pro Forma'!$R$35=0,'Part VI-Pro Forma'!$R$35=""),"",VLOOKUP($L$45,'Part VI-Pro Forma'!$Q$21:$S$35,2))</f>
        <v/>
      </c>
      <c r="J47" s="3127"/>
      <c r="K47" s="484" t="s">
        <v>3317</v>
      </c>
      <c r="L47" s="3128" t="e">
        <f>IF(OR($F$47 = 0,$F$47 =""),"",$I$47/$F$47)</f>
        <v>#VALUE!</v>
      </c>
      <c r="M47" s="3129"/>
      <c r="N47" s="3130" t="s">
        <v>3722</v>
      </c>
      <c r="O47" s="3131"/>
      <c r="P47" s="3132">
        <f ca="1">IF(OR($I$62=0,$I$60&gt;$I$61),0,ABS($I$60-$I$61))</f>
        <v>0</v>
      </c>
      <c r="Q47" s="3133"/>
      <c r="S47" s="3098"/>
      <c r="T47" s="3099"/>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100"/>
      <c r="T48" s="3101"/>
      <c r="Y48" s="2475"/>
      <c r="Z48" s="1618">
        <v>48</v>
      </c>
      <c r="AZ48" s="1588" t="s">
        <v>4253</v>
      </c>
    </row>
    <row r="49" spans="1:52" s="223" customFormat="1" ht="15" customHeight="1">
      <c r="A49" s="144"/>
      <c r="B49" s="3104" t="s">
        <v>2042</v>
      </c>
      <c r="C49" s="3105"/>
      <c r="D49" s="3106"/>
      <c r="E49" s="3107"/>
      <c r="F49" s="3108"/>
      <c r="G49" s="3108"/>
      <c r="H49" s="3109"/>
      <c r="I49" s="3110"/>
      <c r="J49" s="3111"/>
      <c r="K49" s="144"/>
      <c r="L49" s="144"/>
      <c r="M49" s="144"/>
      <c r="N49" s="144"/>
      <c r="O49" s="144"/>
      <c r="P49" s="248" t="s">
        <v>482</v>
      </c>
      <c r="Q49" s="144"/>
      <c r="S49" s="3112"/>
      <c r="T49" s="3113"/>
      <c r="Y49" s="2475" t="s">
        <v>4253</v>
      </c>
      <c r="Z49" s="1618">
        <v>49</v>
      </c>
      <c r="AZ49" s="1588" t="s">
        <v>4254</v>
      </c>
    </row>
    <row r="50" spans="1:52" s="223" customFormat="1" ht="15" customHeight="1">
      <c r="A50" s="144"/>
      <c r="B50" s="3114" t="s">
        <v>744</v>
      </c>
      <c r="C50" s="3115"/>
      <c r="D50" s="3116"/>
      <c r="E50" s="3080"/>
      <c r="F50" s="3081"/>
      <c r="G50" s="3081"/>
      <c r="H50" s="3082"/>
      <c r="I50" s="3083"/>
      <c r="J50" s="3117"/>
      <c r="L50" s="3118" t="s">
        <v>483</v>
      </c>
      <c r="M50" s="3118"/>
      <c r="N50" s="3119" t="s">
        <v>484</v>
      </c>
      <c r="O50" s="3119"/>
      <c r="P50" s="313" t="s">
        <v>2351</v>
      </c>
      <c r="Q50" s="144"/>
      <c r="S50" s="3098"/>
      <c r="T50" s="3099"/>
      <c r="Y50" s="2475" t="s">
        <v>4254</v>
      </c>
      <c r="Z50" s="1618">
        <v>50</v>
      </c>
      <c r="AZ50" s="1588" t="s">
        <v>4255</v>
      </c>
    </row>
    <row r="51" spans="1:52" s="223" customFormat="1" ht="15" customHeight="1">
      <c r="A51" s="144"/>
      <c r="B51" s="3114" t="s">
        <v>745</v>
      </c>
      <c r="C51" s="3115"/>
      <c r="D51" s="3116"/>
      <c r="E51" s="3080" t="s">
        <v>5137</v>
      </c>
      <c r="F51" s="3081"/>
      <c r="G51" s="3081"/>
      <c r="H51" s="3082"/>
      <c r="I51" s="3083">
        <f ca="1">L51</f>
        <v>11440000</v>
      </c>
      <c r="J51" s="3083"/>
      <c r="L51" s="3120">
        <f ca="1">'Part III-A-Uses of Funds'!$J$191*10*'Part III-A-Uses of Funds'!$N$182</f>
        <v>11440000</v>
      </c>
      <c r="M51" s="3120"/>
      <c r="N51" s="3121">
        <f ca="1">I51-L51</f>
        <v>0</v>
      </c>
      <c r="O51" s="3121"/>
      <c r="P51" s="323">
        <f ca="1">I51/I61</f>
        <v>0.47421880845477415</v>
      </c>
      <c r="Q51" s="144"/>
      <c r="S51" s="3098"/>
      <c r="T51" s="3099"/>
      <c r="Y51" s="2475" t="s">
        <v>4255</v>
      </c>
      <c r="Z51" s="1618">
        <v>51</v>
      </c>
      <c r="AZ51" s="1588" t="s">
        <v>4256</v>
      </c>
    </row>
    <row r="52" spans="1:52" s="223" customFormat="1" ht="15" customHeight="1">
      <c r="A52" s="144"/>
      <c r="B52" s="3114" t="s">
        <v>746</v>
      </c>
      <c r="C52" s="3115"/>
      <c r="D52" s="3116"/>
      <c r="E52" s="3080" t="s">
        <v>5137</v>
      </c>
      <c r="F52" s="3081"/>
      <c r="G52" s="3081"/>
      <c r="H52" s="3082"/>
      <c r="I52" s="3083">
        <f ca="1">L52</f>
        <v>7150000.0000000009</v>
      </c>
      <c r="J52" s="3083"/>
      <c r="L52" s="3120">
        <f ca="1">'Part III-A-Uses of Funds'!$J$191*10*'Part III-A-Uses of Funds'!$Q$182</f>
        <v>7150000.0000000009</v>
      </c>
      <c r="M52" s="3120"/>
      <c r="N52" s="3121">
        <f ca="1">I52-L52</f>
        <v>0</v>
      </c>
      <c r="O52" s="3121"/>
      <c r="P52" s="323">
        <f ca="1">I52/I61</f>
        <v>0.29638675528423392</v>
      </c>
      <c r="Q52" s="144"/>
      <c r="S52" s="3098"/>
      <c r="T52" s="3099"/>
      <c r="Y52" s="2475" t="s">
        <v>4256</v>
      </c>
      <c r="Z52" s="1618">
        <v>52</v>
      </c>
      <c r="AZ52" s="1588" t="s">
        <v>4257</v>
      </c>
    </row>
    <row r="53" spans="1:52" s="223" customFormat="1" ht="15" customHeight="1">
      <c r="A53" s="144"/>
      <c r="B53" s="3114" t="s">
        <v>1329</v>
      </c>
      <c r="C53" s="3115"/>
      <c r="D53" s="3116"/>
      <c r="E53" s="3080"/>
      <c r="F53" s="3081"/>
      <c r="G53" s="3081"/>
      <c r="H53" s="3082"/>
      <c r="I53" s="3083"/>
      <c r="J53" s="3083"/>
      <c r="P53" s="324">
        <f ca="1">SUM(P51:P52)</f>
        <v>0.77060556373900813</v>
      </c>
      <c r="Q53" s="144"/>
      <c r="S53" s="3100"/>
      <c r="T53" s="3101"/>
      <c r="Y53" s="2475" t="s">
        <v>4257</v>
      </c>
      <c r="Z53" s="1618">
        <v>53</v>
      </c>
      <c r="AZ53" s="1588"/>
    </row>
    <row r="54" spans="1:52" s="223" customFormat="1" ht="15" customHeight="1">
      <c r="A54" s="144"/>
      <c r="B54" s="807" t="s">
        <v>496</v>
      </c>
      <c r="C54" s="144"/>
      <c r="D54" s="811"/>
      <c r="E54" s="3080"/>
      <c r="F54" s="3081"/>
      <c r="G54" s="3081"/>
      <c r="H54" s="3082"/>
      <c r="I54" s="3083"/>
      <c r="J54" s="3083"/>
      <c r="K54" s="144"/>
      <c r="Q54" s="144"/>
      <c r="S54" s="3098"/>
      <c r="T54" s="3099"/>
      <c r="Y54" s="2475"/>
      <c r="Z54" s="1618">
        <v>54</v>
      </c>
      <c r="AZ54" s="1588"/>
    </row>
    <row r="55" spans="1:52" s="223" customFormat="1" ht="15" customHeight="1">
      <c r="A55" s="144"/>
      <c r="B55" s="807" t="s">
        <v>1727</v>
      </c>
      <c r="C55" s="144"/>
      <c r="D55" s="811"/>
      <c r="E55" s="3080"/>
      <c r="F55" s="3081"/>
      <c r="G55" s="3081"/>
      <c r="H55" s="3082"/>
      <c r="I55" s="3083"/>
      <c r="J55" s="3083"/>
      <c r="N55" s="301"/>
      <c r="O55" s="301"/>
      <c r="P55" s="301"/>
      <c r="Q55" s="144"/>
      <c r="S55" s="3098"/>
      <c r="T55" s="3099"/>
      <c r="Y55" s="2475"/>
      <c r="Z55" s="1618">
        <v>55</v>
      </c>
      <c r="AZ55" s="1588"/>
    </row>
    <row r="56" spans="1:52" s="223" customFormat="1" ht="15" customHeight="1">
      <c r="A56" s="144"/>
      <c r="B56" s="807" t="s">
        <v>1728</v>
      </c>
      <c r="C56" s="144"/>
      <c r="D56" s="811"/>
      <c r="E56" s="3080"/>
      <c r="F56" s="3081"/>
      <c r="G56" s="3081"/>
      <c r="H56" s="3082"/>
      <c r="I56" s="3083"/>
      <c r="J56" s="3083"/>
      <c r="M56" s="301"/>
      <c r="N56" s="301"/>
      <c r="O56" s="301"/>
      <c r="P56" s="301"/>
      <c r="Q56" s="144"/>
      <c r="S56" s="3098"/>
      <c r="T56" s="3099"/>
      <c r="Y56" s="2475"/>
      <c r="Z56" s="1618">
        <v>56</v>
      </c>
      <c r="AZ56" s="1588" t="s">
        <v>4258</v>
      </c>
    </row>
    <row r="57" spans="1:52" s="223" customFormat="1" ht="15" customHeight="1">
      <c r="A57" s="144"/>
      <c r="B57" s="807" t="s">
        <v>689</v>
      </c>
      <c r="C57" s="3102"/>
      <c r="D57" s="3102"/>
      <c r="E57" s="3080"/>
      <c r="F57" s="3081"/>
      <c r="G57" s="3081"/>
      <c r="H57" s="3082"/>
      <c r="I57" s="3083"/>
      <c r="J57" s="3083"/>
      <c r="M57" s="301"/>
      <c r="N57" s="301"/>
      <c r="O57" s="301"/>
      <c r="P57" s="301"/>
      <c r="Q57" s="144"/>
      <c r="S57" s="3098"/>
      <c r="T57" s="3099"/>
      <c r="Y57" s="2475" t="s">
        <v>4258</v>
      </c>
      <c r="Z57" s="1618">
        <v>57</v>
      </c>
      <c r="AZ57" s="1588" t="s">
        <v>4259</v>
      </c>
    </row>
    <row r="58" spans="1:52" s="223" customFormat="1" ht="15" customHeight="1">
      <c r="A58" s="144"/>
      <c r="B58" s="807" t="s">
        <v>689</v>
      </c>
      <c r="C58" s="3103"/>
      <c r="D58" s="3103"/>
      <c r="E58" s="3080"/>
      <c r="F58" s="3081"/>
      <c r="G58" s="3081"/>
      <c r="H58" s="3082"/>
      <c r="I58" s="3083"/>
      <c r="J58" s="3083"/>
      <c r="K58" s="144"/>
      <c r="L58" s="248"/>
      <c r="M58" s="301"/>
      <c r="N58" s="301"/>
      <c r="O58" s="301"/>
      <c r="P58" s="301"/>
      <c r="Q58" s="144"/>
      <c r="S58" s="3098"/>
      <c r="T58" s="3099"/>
      <c r="Y58" s="2475" t="s">
        <v>4259</v>
      </c>
      <c r="Z58" s="1618">
        <v>58</v>
      </c>
      <c r="AZ58" s="1588" t="s">
        <v>4260</v>
      </c>
    </row>
    <row r="59" spans="1:52" s="223" customFormat="1" ht="15" customHeight="1">
      <c r="A59" s="144"/>
      <c r="B59" s="812" t="s">
        <v>689</v>
      </c>
      <c r="C59" s="3087"/>
      <c r="D59" s="3087"/>
      <c r="E59" s="3088"/>
      <c r="F59" s="3089"/>
      <c r="G59" s="3089"/>
      <c r="H59" s="3090"/>
      <c r="I59" s="3091"/>
      <c r="J59" s="3091"/>
      <c r="K59" s="144"/>
      <c r="L59" s="248"/>
      <c r="M59" s="301"/>
      <c r="N59" s="301"/>
      <c r="O59" s="301"/>
      <c r="P59" s="301"/>
      <c r="Q59" s="144"/>
      <c r="S59" s="3098"/>
      <c r="T59" s="3099"/>
      <c r="Y59" s="2475" t="s">
        <v>4260</v>
      </c>
      <c r="Z59" s="1618">
        <v>59</v>
      </c>
      <c r="AZ59" s="1588"/>
    </row>
    <row r="60" spans="1:52" s="223" customFormat="1" ht="14.25" customHeight="1">
      <c r="A60" s="144"/>
      <c r="B60" s="246" t="s">
        <v>2043</v>
      </c>
      <c r="C60" s="144"/>
      <c r="D60" s="144"/>
      <c r="E60" s="144"/>
      <c r="F60" s="144"/>
      <c r="G60" s="144"/>
      <c r="I60" s="3092">
        <f ca="1">SUM(I40:J45)+SUM(I49:J59)</f>
        <v>24123885</v>
      </c>
      <c r="J60" s="3093"/>
      <c r="K60" s="144"/>
      <c r="L60" s="248"/>
      <c r="M60" s="301"/>
      <c r="N60" s="301"/>
      <c r="O60" s="301"/>
      <c r="P60" s="301"/>
      <c r="Q60" s="144"/>
      <c r="S60" s="3098"/>
      <c r="T60" s="3099"/>
      <c r="Y60" s="2475"/>
      <c r="Z60" s="1618">
        <v>60</v>
      </c>
      <c r="AZ60" s="1588"/>
    </row>
    <row r="61" spans="1:52" s="223" customFormat="1" ht="14.25" customHeight="1" thickBot="1">
      <c r="A61" s="144"/>
      <c r="B61" s="246" t="s">
        <v>2044</v>
      </c>
      <c r="C61" s="144"/>
      <c r="D61" s="144"/>
      <c r="E61" s="144"/>
      <c r="F61" s="144"/>
      <c r="G61" s="144"/>
      <c r="I61" s="3094">
        <f>'Part III-A-Uses of Funds'!$G$146</f>
        <v>24123885</v>
      </c>
      <c r="J61" s="3095"/>
      <c r="K61" s="144"/>
      <c r="L61" s="248"/>
      <c r="M61" s="301"/>
      <c r="N61" s="301"/>
      <c r="O61" s="301"/>
      <c r="P61" s="301"/>
      <c r="Q61" s="144"/>
      <c r="S61" s="3098"/>
      <c r="T61" s="3099"/>
      <c r="Y61" s="2475"/>
      <c r="Z61" s="1618">
        <v>61</v>
      </c>
      <c r="AZ61" s="1588"/>
    </row>
    <row r="62" spans="1:52" s="223" customFormat="1" ht="14.25" customHeight="1" thickBot="1">
      <c r="A62" s="144"/>
      <c r="B62" s="246" t="s">
        <v>1426</v>
      </c>
      <c r="C62" s="144"/>
      <c r="D62" s="144"/>
      <c r="E62" s="144"/>
      <c r="F62" s="144"/>
      <c r="G62" s="144"/>
      <c r="I62" s="3096">
        <f ca="1">I60-I61</f>
        <v>0</v>
      </c>
      <c r="J62" s="3097"/>
      <c r="K62" s="144"/>
      <c r="L62" s="248"/>
      <c r="M62" s="301"/>
      <c r="N62" s="301"/>
      <c r="O62" s="301"/>
      <c r="P62" s="301"/>
      <c r="Q62" s="144"/>
      <c r="S62" s="3100"/>
      <c r="T62" s="3101"/>
      <c r="Y62" s="2475"/>
      <c r="Z62" s="1618">
        <v>62</v>
      </c>
      <c r="AZ62" s="1588"/>
    </row>
    <row r="63" spans="1:52" s="223" customFormat="1" ht="13.35" customHeight="1">
      <c r="A63" s="144" t="s">
        <v>3818</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4" t="s">
        <v>5210</v>
      </c>
      <c r="B66" s="3084"/>
      <c r="C66" s="3084"/>
      <c r="D66" s="3084"/>
      <c r="E66" s="3084"/>
      <c r="F66" s="3084"/>
      <c r="G66" s="3084"/>
      <c r="H66" s="3084"/>
      <c r="I66" s="3084"/>
      <c r="J66" s="3084"/>
      <c r="K66" s="3084"/>
      <c r="L66" s="3084"/>
      <c r="M66" s="3085"/>
      <c r="N66" s="3085"/>
      <c r="O66" s="3085"/>
      <c r="P66" s="3085"/>
      <c r="Q66" s="3085"/>
      <c r="S66" s="3086" t="s">
        <v>2445</v>
      </c>
      <c r="T66" s="3086"/>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2" t="e">
        <f>CONCATENATE("PART III B: USD 538 LOAN","  -  ",#REF!," ",#REF!,", ",#REF!,", ",#REF!," County")</f>
        <v>#REF!</v>
      </c>
      <c r="B1" s="3223"/>
      <c r="C1" s="3223"/>
      <c r="D1" s="3223"/>
      <c r="E1" s="3223"/>
      <c r="F1" s="3224"/>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5" t="s">
        <v>210</v>
      </c>
      <c r="B3" s="3215"/>
      <c r="C3" s="3215"/>
      <c r="D3" s="3215"/>
      <c r="E3" s="3215"/>
      <c r="F3" s="3215"/>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6" t="s">
        <v>122</v>
      </c>
      <c r="B14" s="3216"/>
      <c r="C14" s="3216"/>
      <c r="D14" s="3216"/>
      <c r="E14" s="3216"/>
      <c r="F14" s="3216"/>
      <c r="G14" s="162"/>
      <c r="H14" s="162"/>
    </row>
    <row r="15" spans="1:17" ht="5.65" customHeight="1">
      <c r="A15" s="10"/>
      <c r="E15" s="169"/>
      <c r="F15" s="162"/>
      <c r="G15" s="162"/>
      <c r="H15" s="162"/>
    </row>
    <row r="16" spans="1:17" ht="13.35" customHeight="1">
      <c r="A16" s="170" t="s">
        <v>2278</v>
      </c>
      <c r="B16" s="171" t="s">
        <v>2275</v>
      </c>
      <c r="C16" s="171" t="s">
        <v>2276</v>
      </c>
      <c r="D16" s="3225" t="s">
        <v>2077</v>
      </c>
      <c r="E16" s="3225"/>
      <c r="F16" s="162"/>
      <c r="G16" s="162"/>
      <c r="H16" s="162"/>
    </row>
    <row r="17" spans="1:8" ht="12.6" customHeight="1">
      <c r="A17" s="60">
        <v>1</v>
      </c>
      <c r="B17" s="155">
        <f>IF(A17&gt;$C$9,0,SUM(C64:C75)*($C$6/$C$7))</f>
        <v>0</v>
      </c>
      <c r="C17" s="158">
        <f>IF(A17&gt;C9,0,(E63+K63)*$C$8)</f>
        <v>0</v>
      </c>
      <c r="D17" s="3220">
        <f t="shared" ref="D17:D56" si="0">IF(A17&gt;$C$9,0,$C$11+C17)</f>
        <v>0</v>
      </c>
      <c r="E17" s="3220"/>
      <c r="F17" s="162"/>
      <c r="G17" s="162"/>
      <c r="H17" s="162"/>
    </row>
    <row r="18" spans="1:8" ht="12.6" customHeight="1">
      <c r="A18" s="60">
        <v>2</v>
      </c>
      <c r="B18" s="155">
        <f>IF(A18&gt;C9,0,SUM(C76:C87)*($C$6/$C$7))</f>
        <v>0</v>
      </c>
      <c r="C18" s="158">
        <f>IF(A18&gt;C9,0,(E75+K75)*$C$8)</f>
        <v>0</v>
      </c>
      <c r="D18" s="3218">
        <f t="shared" si="0"/>
        <v>0</v>
      </c>
      <c r="E18" s="3218"/>
      <c r="F18" s="162"/>
      <c r="G18" s="162"/>
      <c r="H18" s="162"/>
    </row>
    <row r="19" spans="1:8" ht="12.6" customHeight="1">
      <c r="A19" s="60">
        <v>3</v>
      </c>
      <c r="B19" s="155">
        <f>IF(A19&gt;C9,0,SUM(C88:C99)*($C$6/$C$7))</f>
        <v>0</v>
      </c>
      <c r="C19" s="158">
        <f>IF(A19&gt;C9,0,(E87+K87)*$C$8)</f>
        <v>0</v>
      </c>
      <c r="D19" s="3218">
        <f t="shared" si="0"/>
        <v>0</v>
      </c>
      <c r="E19" s="3218"/>
      <c r="F19" s="162"/>
      <c r="G19" s="162"/>
      <c r="H19" s="162"/>
    </row>
    <row r="20" spans="1:8" ht="12.6" customHeight="1">
      <c r="A20" s="60">
        <v>4</v>
      </c>
      <c r="B20" s="155">
        <f>IF(A20&gt;C9,0,SUM(C100:C111)*($C$6/$C$7))</f>
        <v>0</v>
      </c>
      <c r="C20" s="158">
        <f>IF(A20&gt;C9,0,(E99+K99)*$C$8)</f>
        <v>0</v>
      </c>
      <c r="D20" s="3218">
        <f t="shared" si="0"/>
        <v>0</v>
      </c>
      <c r="E20" s="3218"/>
      <c r="F20" s="162"/>
      <c r="G20" s="162"/>
      <c r="H20" s="162"/>
    </row>
    <row r="21" spans="1:8" ht="12.6" customHeight="1">
      <c r="A21" s="60">
        <v>5</v>
      </c>
      <c r="B21" s="155">
        <f>IF(A21&gt;C9,0,SUM(C112:C123)*($C$6/$C$7))</f>
        <v>0</v>
      </c>
      <c r="C21" s="158">
        <f>IF(A21&gt;C9,0,(E111+K111)*$C$8)</f>
        <v>0</v>
      </c>
      <c r="D21" s="3219">
        <f t="shared" si="0"/>
        <v>0</v>
      </c>
      <c r="E21" s="3219"/>
      <c r="F21" s="162"/>
      <c r="G21" s="162"/>
      <c r="H21" s="162"/>
    </row>
    <row r="22" spans="1:8" ht="12.6" customHeight="1">
      <c r="A22" s="156">
        <v>6</v>
      </c>
      <c r="B22" s="157">
        <f>IF(A22&gt;C9,0,SUM(C124:C135)*($C$6/$C$7))</f>
        <v>0</v>
      </c>
      <c r="C22" s="173">
        <f>IF(A22&gt;C9,0,(E123+K123)*$C$8)</f>
        <v>0</v>
      </c>
      <c r="D22" s="3218">
        <f t="shared" si="0"/>
        <v>0</v>
      </c>
      <c r="E22" s="3218"/>
      <c r="F22" s="162"/>
      <c r="G22" s="162"/>
      <c r="H22" s="162"/>
    </row>
    <row r="23" spans="1:8" ht="12.6" customHeight="1">
      <c r="A23" s="60">
        <v>7</v>
      </c>
      <c r="B23" s="155">
        <f>IF(A23&gt;C9,0,SUM(C136:C147)*($C$6/$C$7))</f>
        <v>0</v>
      </c>
      <c r="C23" s="158">
        <f>IF(A23&gt;C9,0,(E135+K135)*$C$8)</f>
        <v>0</v>
      </c>
      <c r="D23" s="3218">
        <f t="shared" si="0"/>
        <v>0</v>
      </c>
      <c r="E23" s="3218"/>
      <c r="F23" s="162"/>
      <c r="G23" s="162"/>
      <c r="H23" s="162"/>
    </row>
    <row r="24" spans="1:8" ht="12.6" customHeight="1">
      <c r="A24" s="60">
        <v>8</v>
      </c>
      <c r="B24" s="155">
        <f>IF(A24&gt;C9,0,SUM(C148:C159)*($C$6/$C$7))</f>
        <v>0</v>
      </c>
      <c r="C24" s="158">
        <f>IF(A24&gt;C9,0,(E147+K147)*$C$8)</f>
        <v>0</v>
      </c>
      <c r="D24" s="3218">
        <f t="shared" si="0"/>
        <v>0</v>
      </c>
      <c r="E24" s="3218"/>
      <c r="F24" s="162"/>
      <c r="G24" s="162"/>
      <c r="H24" s="162"/>
    </row>
    <row r="25" spans="1:8" ht="12.6" customHeight="1">
      <c r="A25" s="60">
        <v>9</v>
      </c>
      <c r="B25" s="155">
        <f>IF(A25&gt;C9,0,SUM(C160:C171)*($C$6/$C$7))</f>
        <v>0</v>
      </c>
      <c r="C25" s="158">
        <f>IF(A25&gt;C9,0,(E159+K159)*$C$8)</f>
        <v>0</v>
      </c>
      <c r="D25" s="3218">
        <f t="shared" si="0"/>
        <v>0</v>
      </c>
      <c r="E25" s="3218"/>
      <c r="F25" s="162"/>
      <c r="G25" s="162"/>
      <c r="H25" s="162"/>
    </row>
    <row r="26" spans="1:8" ht="12.6" customHeight="1">
      <c r="A26" s="159">
        <v>10</v>
      </c>
      <c r="B26" s="160">
        <f>IF(A26&gt;C9,0,SUM(C172:C183)*($C$6/$C$7))</f>
        <v>0</v>
      </c>
      <c r="C26" s="172">
        <f>IF(A26&gt;C9,0,(E171+K171)*$C$8)</f>
        <v>0</v>
      </c>
      <c r="D26" s="3219">
        <f t="shared" si="0"/>
        <v>0</v>
      </c>
      <c r="E26" s="3219"/>
      <c r="F26" s="162"/>
      <c r="G26" s="162"/>
      <c r="H26" s="162"/>
    </row>
    <row r="27" spans="1:8" ht="12.6" customHeight="1">
      <c r="A27" s="60">
        <v>11</v>
      </c>
      <c r="B27" s="155">
        <f>IF(A27&gt;C9,0,SUM(C184:C195)*($C$6/$C$7))</f>
        <v>0</v>
      </c>
      <c r="C27" s="158">
        <f>IF(A27&gt;C9,0,(E183+K183)*$C$8)</f>
        <v>0</v>
      </c>
      <c r="D27" s="3218">
        <f t="shared" si="0"/>
        <v>0</v>
      </c>
      <c r="E27" s="3218"/>
      <c r="F27" s="162"/>
      <c r="G27" s="162"/>
      <c r="H27" s="162"/>
    </row>
    <row r="28" spans="1:8" ht="12.6" customHeight="1">
      <c r="A28" s="60">
        <v>12</v>
      </c>
      <c r="B28" s="155">
        <f>IF(A28&gt;C9,0,SUM(C196:C207)*($C$6/$C$7))</f>
        <v>0</v>
      </c>
      <c r="C28" s="158">
        <f>IF(A28&gt;C9,0,(E195+K195)*$C$8)</f>
        <v>0</v>
      </c>
      <c r="D28" s="3218">
        <f t="shared" si="0"/>
        <v>0</v>
      </c>
      <c r="E28" s="3218"/>
      <c r="F28" s="162"/>
      <c r="G28" s="162"/>
      <c r="H28" s="162"/>
    </row>
    <row r="29" spans="1:8" ht="12.6" customHeight="1">
      <c r="A29" s="60">
        <v>13</v>
      </c>
      <c r="B29" s="155">
        <f>IF(A29&gt;C9,0,SUM(C208:C219)*($C$6/$C$7))</f>
        <v>0</v>
      </c>
      <c r="C29" s="158">
        <f>IF(A29&gt;C9,0,(E207+K207)*$C$8)</f>
        <v>0</v>
      </c>
      <c r="D29" s="3218">
        <f t="shared" si="0"/>
        <v>0</v>
      </c>
      <c r="E29" s="3218"/>
      <c r="F29" s="162"/>
      <c r="G29" s="162"/>
      <c r="H29" s="162"/>
    </row>
    <row r="30" spans="1:8" ht="12.6" customHeight="1">
      <c r="A30" s="60">
        <v>14</v>
      </c>
      <c r="B30" s="155">
        <f>IF(A30&gt;C9,0,SUM(C220:C231)*($C$6/$C$7))</f>
        <v>0</v>
      </c>
      <c r="C30" s="158">
        <f>IF(A30&gt;C9,0,(E219+K219)*$C$8)</f>
        <v>0</v>
      </c>
      <c r="D30" s="3218">
        <f t="shared" si="0"/>
        <v>0</v>
      </c>
      <c r="E30" s="3218"/>
      <c r="F30" s="162"/>
      <c r="G30" s="162"/>
      <c r="H30" s="162"/>
    </row>
    <row r="31" spans="1:8" ht="12.6" customHeight="1">
      <c r="A31" s="60">
        <v>15</v>
      </c>
      <c r="B31" s="155">
        <f>IF(A31&gt;C9,0,SUM(C232:C243)*($C$6/$C$7))</f>
        <v>0</v>
      </c>
      <c r="C31" s="158">
        <f>IF(A31&gt;C9,0,(E231+K231)*$C$8)</f>
        <v>0</v>
      </c>
      <c r="D31" s="3219">
        <f t="shared" si="0"/>
        <v>0</v>
      </c>
      <c r="E31" s="3219"/>
      <c r="F31" s="162"/>
      <c r="G31" s="162"/>
      <c r="H31" s="162"/>
    </row>
    <row r="32" spans="1:8" ht="12.6" customHeight="1">
      <c r="A32" s="156">
        <v>16</v>
      </c>
      <c r="B32" s="157">
        <f>IF(A32&gt;C9,0,SUM(C244:C255)*($C$6/$C$7))</f>
        <v>0</v>
      </c>
      <c r="C32" s="173">
        <f>IF(A32&gt;C9,0,(E243+K243)*$C$8)</f>
        <v>0</v>
      </c>
      <c r="D32" s="3218">
        <f t="shared" si="0"/>
        <v>0</v>
      </c>
      <c r="E32" s="3218"/>
      <c r="F32" s="162"/>
      <c r="G32" s="162"/>
      <c r="H32" s="162"/>
    </row>
    <row r="33" spans="1:8" ht="12.6" customHeight="1">
      <c r="A33" s="60">
        <v>17</v>
      </c>
      <c r="B33" s="155">
        <f>IF(A33&gt;C9,0,SUM(C256:C267)*($C$6/$C$7))</f>
        <v>0</v>
      </c>
      <c r="C33" s="158">
        <f>IF(A33&gt;C9,0,(E255+K255)*$C$8)</f>
        <v>0</v>
      </c>
      <c r="D33" s="3218">
        <f t="shared" si="0"/>
        <v>0</v>
      </c>
      <c r="E33" s="3218"/>
      <c r="F33" s="162"/>
      <c r="G33" s="162"/>
      <c r="H33" s="162"/>
    </row>
    <row r="34" spans="1:8" ht="12.6" customHeight="1">
      <c r="A34" s="60">
        <v>18</v>
      </c>
      <c r="B34" s="155">
        <f>IF(A34&gt;C9,0,SUM(C268:C279)*($C$6/$C$7))</f>
        <v>0</v>
      </c>
      <c r="C34" s="158">
        <f>IF(A34&gt;C9,0,(E267+K267)*$C$8)</f>
        <v>0</v>
      </c>
      <c r="D34" s="3218">
        <f t="shared" si="0"/>
        <v>0</v>
      </c>
      <c r="E34" s="3218"/>
      <c r="F34" s="162"/>
      <c r="G34" s="162"/>
      <c r="H34" s="162"/>
    </row>
    <row r="35" spans="1:8" ht="12.6" customHeight="1">
      <c r="A35" s="60">
        <v>19</v>
      </c>
      <c r="B35" s="155">
        <f>IF(A35&gt;C9,0,SUM(C280:C291)*($C$6/$C$7))</f>
        <v>0</v>
      </c>
      <c r="C35" s="158">
        <f>IF(A35&gt;C9,0,(E279+K279)*$C$8)</f>
        <v>0</v>
      </c>
      <c r="D35" s="3218">
        <f t="shared" si="0"/>
        <v>0</v>
      </c>
      <c r="E35" s="3218"/>
      <c r="F35" s="162"/>
      <c r="G35" s="162"/>
      <c r="H35" s="162"/>
    </row>
    <row r="36" spans="1:8" ht="12.6" customHeight="1">
      <c r="A36" s="159">
        <v>20</v>
      </c>
      <c r="B36" s="160">
        <f>IF(A36&gt;C9,0,SUM(C292:C303)*($C$6/$C$7))</f>
        <v>0</v>
      </c>
      <c r="C36" s="172">
        <f>IF(A36&gt;C9,0,(E291+K291)*$C$8)</f>
        <v>0</v>
      </c>
      <c r="D36" s="3219">
        <f t="shared" si="0"/>
        <v>0</v>
      </c>
      <c r="E36" s="3219"/>
      <c r="F36" s="162"/>
      <c r="G36" s="162"/>
      <c r="H36" s="162"/>
    </row>
    <row r="37" spans="1:8" ht="12.6" customHeight="1">
      <c r="A37" s="60">
        <v>21</v>
      </c>
      <c r="B37" s="157">
        <f>IF(A37&gt;C9,0,SUM(C293:C304)*($C$6/$C$7))</f>
        <v>0</v>
      </c>
      <c r="C37" s="173">
        <f>IF(A37&gt;C9,0,(E303+K303)*$C$8)</f>
        <v>0</v>
      </c>
      <c r="D37" s="3221">
        <f t="shared" si="0"/>
        <v>0</v>
      </c>
      <c r="E37" s="3221"/>
      <c r="F37" s="162"/>
      <c r="G37" s="162"/>
      <c r="H37" s="162"/>
    </row>
    <row r="38" spans="1:8" ht="12.6" customHeight="1">
      <c r="A38" s="60">
        <v>22</v>
      </c>
      <c r="B38" s="155">
        <f>IF(A38&gt;C9,0,SUM(C294:C305)*($C$6/$C$7))</f>
        <v>0</v>
      </c>
      <c r="C38" s="158">
        <f>IF(A38&gt;C9,0,(E315+K315)*$C$8)</f>
        <v>0</v>
      </c>
      <c r="D38" s="3218">
        <f t="shared" si="0"/>
        <v>0</v>
      </c>
      <c r="E38" s="3218"/>
      <c r="F38" s="162"/>
      <c r="G38" s="162"/>
      <c r="H38" s="162"/>
    </row>
    <row r="39" spans="1:8" ht="12.6" customHeight="1">
      <c r="A39" s="60">
        <v>23</v>
      </c>
      <c r="B39" s="155">
        <f>IF(A39&gt;C9,0,SUM(C295:C306)*($C$6/$C$7))</f>
        <v>0</v>
      </c>
      <c r="C39" s="158">
        <f>IF(A39&gt;C9,0,(E327+K327)*$C$8)</f>
        <v>0</v>
      </c>
      <c r="D39" s="3218">
        <f t="shared" si="0"/>
        <v>0</v>
      </c>
      <c r="E39" s="3218"/>
      <c r="F39" s="162"/>
      <c r="G39" s="162"/>
      <c r="H39" s="162"/>
    </row>
    <row r="40" spans="1:8" ht="12.6" customHeight="1">
      <c r="A40" s="60">
        <v>24</v>
      </c>
      <c r="B40" s="155">
        <f>IF(A40&gt;C9,0,SUM(C296:C307)*($C$6/$C$7))</f>
        <v>0</v>
      </c>
      <c r="C40" s="158">
        <f>IF(A40&gt;C9,0,(E339+K339)*$C$8)</f>
        <v>0</v>
      </c>
      <c r="D40" s="3218">
        <f t="shared" si="0"/>
        <v>0</v>
      </c>
      <c r="E40" s="3218"/>
      <c r="F40" s="162"/>
      <c r="G40" s="162"/>
      <c r="H40" s="162"/>
    </row>
    <row r="41" spans="1:8" ht="12.6" customHeight="1">
      <c r="A41" s="60">
        <v>25</v>
      </c>
      <c r="B41" s="160">
        <f>IF(A41&gt;C9,0,SUM(C297:C308)*($C$6/$C$7))</f>
        <v>0</v>
      </c>
      <c r="C41" s="172">
        <f>IF(A41&gt;C9,0,(E351+K351)*$C$8)</f>
        <v>0</v>
      </c>
      <c r="D41" s="3219">
        <f t="shared" si="0"/>
        <v>0</v>
      </c>
      <c r="E41" s="3219"/>
      <c r="F41" s="162"/>
      <c r="G41" s="162"/>
      <c r="H41" s="162"/>
    </row>
    <row r="42" spans="1:8" ht="12.6" customHeight="1">
      <c r="A42" s="156">
        <v>26</v>
      </c>
      <c r="B42" s="157">
        <f>IF(A42&gt;C9,0,SUM(C298:C309)*($C$6/$C$7))</f>
        <v>0</v>
      </c>
      <c r="C42" s="173">
        <f>IF(A42&gt;C9,0,(E363+K363)*$C$8)</f>
        <v>0</v>
      </c>
      <c r="D42" s="3221">
        <f t="shared" si="0"/>
        <v>0</v>
      </c>
      <c r="E42" s="3221"/>
      <c r="F42" s="162"/>
      <c r="G42" s="162"/>
      <c r="H42" s="162"/>
    </row>
    <row r="43" spans="1:8" ht="12.6" customHeight="1">
      <c r="A43" s="60">
        <v>27</v>
      </c>
      <c r="B43" s="155">
        <f>IF(A43&gt;C9,0,SUM(C299:C310)*($C$6/$C$7))</f>
        <v>0</v>
      </c>
      <c r="C43" s="158">
        <f>IF(A43&gt;C9,0,(E375+K375)*$C$8)</f>
        <v>0</v>
      </c>
      <c r="D43" s="3218">
        <f t="shared" si="0"/>
        <v>0</v>
      </c>
      <c r="E43" s="3218"/>
      <c r="F43" s="162"/>
      <c r="G43" s="162"/>
      <c r="H43" s="162"/>
    </row>
    <row r="44" spans="1:8" ht="12.6" customHeight="1">
      <c r="A44" s="60">
        <v>28</v>
      </c>
      <c r="B44" s="155">
        <f>IF(A44&gt;C9,0,SUM(C300:C311)*($C$6/$C$7))</f>
        <v>0</v>
      </c>
      <c r="C44" s="158">
        <f>IF(A44&gt;C9,0,(E387+K387)*$C$8)</f>
        <v>0</v>
      </c>
      <c r="D44" s="3218">
        <f t="shared" si="0"/>
        <v>0</v>
      </c>
      <c r="E44" s="3218"/>
      <c r="F44" s="162"/>
      <c r="G44" s="162"/>
      <c r="H44" s="162"/>
    </row>
    <row r="45" spans="1:8" ht="12.6" customHeight="1">
      <c r="A45" s="60">
        <v>29</v>
      </c>
      <c r="B45" s="155">
        <f>IF(A45&gt;C9,0,SUM(C301:C312)*($C$6/$C$7))</f>
        <v>0</v>
      </c>
      <c r="C45" s="158">
        <f>IF(A45&gt;C9,0,(E411+K411)*$C$8)</f>
        <v>0</v>
      </c>
      <c r="D45" s="3218">
        <f t="shared" si="0"/>
        <v>0</v>
      </c>
      <c r="E45" s="3218"/>
      <c r="F45" s="162"/>
      <c r="G45" s="162"/>
      <c r="H45" s="162"/>
    </row>
    <row r="46" spans="1:8" ht="12.6" customHeight="1">
      <c r="A46" s="159">
        <v>30</v>
      </c>
      <c r="B46" s="160">
        <f>IF(A46&gt;C9,0,SUM(C302:C313)*($C$6/$C$7))</f>
        <v>0</v>
      </c>
      <c r="C46" s="172">
        <f>IF(A46&gt;C9,0,(E423+K423)*$C$8)</f>
        <v>0</v>
      </c>
      <c r="D46" s="3219">
        <f t="shared" si="0"/>
        <v>0</v>
      </c>
      <c r="E46" s="3219"/>
      <c r="F46" s="162"/>
      <c r="G46" s="162"/>
      <c r="H46" s="162"/>
    </row>
    <row r="47" spans="1:8" ht="12.6" customHeight="1">
      <c r="A47" s="156">
        <v>31</v>
      </c>
      <c r="B47" s="157">
        <f>IF(A47&gt;C9,0,SUM(C303:C314)*($C$6/$C$7))</f>
        <v>0</v>
      </c>
      <c r="C47" s="173">
        <f>IF(A47&gt;C9,0,(E435+K435)*$C$8)</f>
        <v>0</v>
      </c>
      <c r="D47" s="3221">
        <f t="shared" si="0"/>
        <v>0</v>
      </c>
      <c r="E47" s="3221"/>
      <c r="F47" s="162"/>
      <c r="G47" s="162"/>
      <c r="H47" s="162"/>
    </row>
    <row r="48" spans="1:8" ht="12.6" customHeight="1">
      <c r="A48" s="60">
        <v>32</v>
      </c>
      <c r="B48" s="155">
        <f>IF(A48&gt;C9,0,SUM(C304:C315)*($C$6/$C$7))</f>
        <v>0</v>
      </c>
      <c r="C48" s="158">
        <f>IF(A48&gt;C9,0,(E447+K447)*$C$8)</f>
        <v>0</v>
      </c>
      <c r="D48" s="3218">
        <f t="shared" si="0"/>
        <v>0</v>
      </c>
      <c r="E48" s="3218"/>
      <c r="F48" s="162"/>
      <c r="G48" s="162"/>
      <c r="H48" s="162"/>
    </row>
    <row r="49" spans="1:12" ht="12.6" customHeight="1">
      <c r="A49" s="60">
        <v>33</v>
      </c>
      <c r="B49" s="155">
        <f>IF(A49&gt;C9,0,SUM(C305:C316)*($C$6/$C$7))</f>
        <v>0</v>
      </c>
      <c r="C49" s="158">
        <f>IF(A49&gt;C9,0,(E459+K459)*$C$8)</f>
        <v>0</v>
      </c>
      <c r="D49" s="3218">
        <f t="shared" si="0"/>
        <v>0</v>
      </c>
      <c r="E49" s="3218"/>
      <c r="F49" s="162"/>
      <c r="G49" s="162"/>
      <c r="H49" s="162"/>
    </row>
    <row r="50" spans="1:12" ht="12.6" customHeight="1">
      <c r="A50" s="60">
        <v>34</v>
      </c>
      <c r="B50" s="155">
        <f>IF(A50&gt;C9,0,SUM(C306:C317)*($C$6/$C$7))</f>
        <v>0</v>
      </c>
      <c r="C50" s="158">
        <f>IF(A50&gt;C9,0,(E471+K471)*$C$8)</f>
        <v>0</v>
      </c>
      <c r="D50" s="3218">
        <f t="shared" si="0"/>
        <v>0</v>
      </c>
      <c r="E50" s="3218"/>
      <c r="F50" s="162"/>
      <c r="G50" s="162"/>
      <c r="H50" s="162"/>
    </row>
    <row r="51" spans="1:12" ht="12.6" customHeight="1">
      <c r="A51" s="159">
        <v>35</v>
      </c>
      <c r="B51" s="160">
        <f>IF(A51&gt;C9,0,SUM(C307:C318)*($C$6/$C$7))</f>
        <v>0</v>
      </c>
      <c r="C51" s="172">
        <f>IF(A51&gt;C9,0,(E483+K483)*$C$8)</f>
        <v>0</v>
      </c>
      <c r="D51" s="3219">
        <f t="shared" si="0"/>
        <v>0</v>
      </c>
      <c r="E51" s="3219"/>
      <c r="F51" s="162"/>
      <c r="G51" s="162"/>
      <c r="H51" s="162"/>
    </row>
    <row r="52" spans="1:12" ht="12.6" customHeight="1">
      <c r="A52" s="156">
        <v>36</v>
      </c>
      <c r="B52" s="157">
        <f>IF(A52&gt;C9,0,SUM(C308:C319)*($C$6/$C$7))</f>
        <v>0</v>
      </c>
      <c r="C52" s="173">
        <f>IF(A52&gt;C9,0,(E495+K495)*$C$8)</f>
        <v>0</v>
      </c>
      <c r="D52" s="3221">
        <f t="shared" si="0"/>
        <v>0</v>
      </c>
      <c r="E52" s="3221"/>
      <c r="F52" s="162"/>
      <c r="G52" s="162"/>
      <c r="H52" s="162"/>
    </row>
    <row r="53" spans="1:12" ht="12.6" customHeight="1">
      <c r="A53" s="60">
        <v>37</v>
      </c>
      <c r="B53" s="155">
        <f>IF(A53&gt;C9,0,SUM(C309:C320)*($C$6/$C$7))</f>
        <v>0</v>
      </c>
      <c r="C53" s="158">
        <f>IF(A53&gt;C9,0,(E507+K507)*$C$8)</f>
        <v>0</v>
      </c>
      <c r="D53" s="3218">
        <f t="shared" si="0"/>
        <v>0</v>
      </c>
      <c r="E53" s="3218"/>
      <c r="F53" s="162"/>
      <c r="G53" s="162"/>
      <c r="H53" s="162"/>
    </row>
    <row r="54" spans="1:12" ht="12.6" customHeight="1">
      <c r="A54" s="60">
        <v>38</v>
      </c>
      <c r="B54" s="155">
        <f>IF(A54&gt;C9,0,SUM(C310:C321)*($C$6/$C$7))</f>
        <v>0</v>
      </c>
      <c r="C54" s="158">
        <f>IF(A54&gt;C9,0,(E519+K519)*$C$8)</f>
        <v>0</v>
      </c>
      <c r="D54" s="3218">
        <f t="shared" si="0"/>
        <v>0</v>
      </c>
      <c r="E54" s="3218"/>
      <c r="F54" s="162"/>
      <c r="G54" s="162"/>
      <c r="H54" s="162"/>
    </row>
    <row r="55" spans="1:12" ht="12.6" customHeight="1">
      <c r="A55" s="60">
        <v>39</v>
      </c>
      <c r="B55" s="155">
        <f>IF(A55&gt;C9,0,SUM(C311:C322)*($C$6/$C$7))</f>
        <v>0</v>
      </c>
      <c r="C55" s="158">
        <f>IF(A55&gt;C9,0,(E531+K531)*$C$8)</f>
        <v>0</v>
      </c>
      <c r="D55" s="3218">
        <f t="shared" si="0"/>
        <v>0</v>
      </c>
      <c r="E55" s="3218"/>
      <c r="F55" s="162"/>
      <c r="G55" s="162"/>
      <c r="H55" s="162"/>
    </row>
    <row r="56" spans="1:12" ht="12.6" customHeight="1">
      <c r="A56" s="159">
        <v>40</v>
      </c>
      <c r="B56" s="160">
        <f>IF(A56&gt;C9,0,SUM(C312:C323)*($C$6/$C$7))</f>
        <v>0</v>
      </c>
      <c r="C56" s="172">
        <f>IF(A56&gt;C9,0,(E543+K543)*$C$8)</f>
        <v>0</v>
      </c>
      <c r="D56" s="3219">
        <f t="shared" si="0"/>
        <v>0</v>
      </c>
      <c r="E56" s="3219"/>
      <c r="F56" s="162"/>
      <c r="G56" s="162"/>
      <c r="H56" s="162"/>
    </row>
    <row r="57" spans="1:12" ht="3" customHeight="1">
      <c r="A57" s="162"/>
      <c r="B57" s="162"/>
      <c r="C57" s="162"/>
      <c r="D57" s="162"/>
      <c r="E57" s="162"/>
      <c r="F57" s="162"/>
      <c r="G57" s="162"/>
      <c r="H57" s="162"/>
    </row>
    <row r="58" spans="1:12" ht="13.35" customHeight="1">
      <c r="A58" s="3217" t="e">
        <f>CONCATENATE(#REF!," ",#REF!,", ",#REF!,", ",#REF!," County")</f>
        <v>#REF!</v>
      </c>
      <c r="B58" s="3217"/>
      <c r="C58" s="3217"/>
      <c r="D58" s="3217"/>
      <c r="E58" s="3217"/>
      <c r="F58" s="3217"/>
      <c r="G58" s="3217" t="e">
        <f>CONCATENATE(#REF!," ",#REF!,", ",#REF!,", ",#REF!," County")</f>
        <v>#REF!</v>
      </c>
      <c r="H58" s="3217"/>
      <c r="I58" s="3217"/>
      <c r="J58" s="3217"/>
      <c r="K58" s="3217"/>
      <c r="L58" s="3217"/>
    </row>
    <row r="59" spans="1:12" ht="15">
      <c r="A59" s="3215" t="s">
        <v>2269</v>
      </c>
      <c r="B59" s="3215"/>
      <c r="C59" s="3215"/>
      <c r="D59" s="3215"/>
      <c r="E59" s="3215"/>
      <c r="F59" s="3215"/>
      <c r="G59" s="3215" t="s">
        <v>2269</v>
      </c>
      <c r="H59" s="3215"/>
      <c r="I59" s="3215"/>
      <c r="J59" s="3215"/>
      <c r="K59" s="3215"/>
      <c r="L59" s="3215"/>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2" t="e">
        <f>CONCATENATE("PART III C  - HUD INSURED LOAN","  -  ",#REF!," ",#REF!,", ",#REF!,", ",#REF!," County")</f>
        <v>#REF!</v>
      </c>
      <c r="B1" s="3223"/>
      <c r="C1" s="3223"/>
      <c r="D1" s="3223"/>
      <c r="E1" s="3223"/>
      <c r="F1" s="3224"/>
      <c r="G1" s="139"/>
      <c r="H1" s="139"/>
      <c r="I1" s="139"/>
      <c r="J1" s="139"/>
      <c r="K1" s="139"/>
      <c r="L1" s="139"/>
      <c r="M1" s="139"/>
      <c r="N1" s="139"/>
      <c r="O1" s="139"/>
      <c r="P1" s="139"/>
      <c r="Q1" s="139"/>
    </row>
    <row r="2" spans="1:17">
      <c r="A2" s="10"/>
    </row>
    <row r="3" spans="1:17" ht="15.6" customHeight="1">
      <c r="A3" s="3215" t="s">
        <v>210</v>
      </c>
      <c r="B3" s="3215"/>
      <c r="C3" s="3215"/>
      <c r="D3" s="3215"/>
      <c r="E3" s="3215"/>
      <c r="F3" s="3215"/>
      <c r="G3" s="189"/>
      <c r="H3" s="189"/>
    </row>
    <row r="4" spans="1:17">
      <c r="A4" s="10"/>
    </row>
    <row r="5" spans="1:17" ht="13.35" customHeight="1">
      <c r="A5" t="s">
        <v>2078</v>
      </c>
      <c r="D5" s="183"/>
      <c r="E5" s="3226" t="s">
        <v>894</v>
      </c>
      <c r="F5" s="3227"/>
      <c r="G5" s="126"/>
    </row>
    <row r="6" spans="1:17">
      <c r="E6" s="3227"/>
      <c r="F6" s="3227"/>
      <c r="G6" s="126"/>
    </row>
    <row r="7" spans="1:17">
      <c r="A7" t="s">
        <v>2261</v>
      </c>
      <c r="C7" t="s">
        <v>2262</v>
      </c>
      <c r="D7" s="184"/>
      <c r="E7" s="3227"/>
      <c r="F7" s="3227"/>
      <c r="G7" s="126"/>
    </row>
    <row r="8" spans="1:17">
      <c r="C8" t="s">
        <v>2263</v>
      </c>
      <c r="D8" s="184"/>
      <c r="E8" s="3227"/>
      <c r="F8" s="3227"/>
      <c r="G8" s="126"/>
    </row>
    <row r="9" spans="1:17">
      <c r="C9" t="s">
        <v>2264</v>
      </c>
      <c r="D9" s="184"/>
      <c r="E9" s="3227"/>
      <c r="F9" s="3227"/>
      <c r="G9" s="126"/>
    </row>
    <row r="10" spans="1:17">
      <c r="C10" t="s">
        <v>2277</v>
      </c>
      <c r="D10" s="190">
        <f>D7+D8+D9</f>
        <v>0</v>
      </c>
      <c r="E10" s="3227"/>
      <c r="F10" s="3227"/>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6" t="s">
        <v>1594</v>
      </c>
      <c r="B24" s="3216"/>
      <c r="C24" s="3216"/>
      <c r="D24" s="3216"/>
      <c r="E24" s="3216"/>
      <c r="F24" s="3216"/>
      <c r="J24" s="192"/>
    </row>
    <row r="25" spans="1:10">
      <c r="C25" s="161"/>
      <c r="J25" s="192"/>
    </row>
    <row r="26" spans="1:10">
      <c r="A26" s="82"/>
      <c r="B26" s="60"/>
      <c r="C26" s="3228" t="s">
        <v>2077</v>
      </c>
      <c r="D26" s="188"/>
      <c r="E26" s="60"/>
      <c r="F26" s="3228" t="s">
        <v>2077</v>
      </c>
      <c r="J26" s="192"/>
    </row>
    <row r="27" spans="1:10">
      <c r="A27" s="193" t="s">
        <v>2278</v>
      </c>
      <c r="B27" s="24" t="s">
        <v>961</v>
      </c>
      <c r="C27" s="3229"/>
      <c r="D27" s="194" t="s">
        <v>2278</v>
      </c>
      <c r="E27" s="24" t="s">
        <v>961</v>
      </c>
      <c r="F27" s="32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7" t="e">
        <f>CONCATENATE(#REF!," ",#REF!,", ",#REF!,", ",#REF!," County")</f>
        <v>#REF!</v>
      </c>
      <c r="B50" s="3217"/>
      <c r="C50" s="3217"/>
      <c r="D50" s="3217"/>
      <c r="E50" s="3217"/>
      <c r="F50" s="3217"/>
      <c r="G50" s="41"/>
      <c r="H50" s="41"/>
    </row>
    <row r="51" spans="1:10" ht="15">
      <c r="A51" s="3215" t="s">
        <v>2269</v>
      </c>
      <c r="B51" s="3215"/>
      <c r="C51" s="3215"/>
      <c r="D51" s="3215"/>
      <c r="E51" s="3215"/>
      <c r="F51" s="3215"/>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zoomScale="115" zoomScaleNormal="115" workbookViewId="0">
      <selection activeCell="G11" sqref="G11:H1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4229</v>
      </c>
      <c r="J1" s="1651" t="s">
        <v>4230</v>
      </c>
      <c r="M1" s="1651" t="s">
        <v>4231</v>
      </c>
      <c r="N1" s="1651" t="s">
        <v>4232</v>
      </c>
      <c r="P1" s="1651" t="s">
        <v>4233</v>
      </c>
      <c r="Q1" s="1651" t="s">
        <v>4234</v>
      </c>
      <c r="S1" s="1651" t="s">
        <v>4235</v>
      </c>
      <c r="BA1" s="1618">
        <v>1</v>
      </c>
    </row>
    <row r="2" spans="1:53" s="144" customFormat="1" ht="13.5" customHeight="1">
      <c r="A2" s="3401" t="str">
        <f>CONCATENATE("PART THREE (A):  USES OF FUNDS","  -  ",'Part I-Project Identification'!$O$7," ",'Part I-Project Identification'!$F$26,", ",'Part I-Project Identification'!F27,", ",'Part I-Project Identification'!J27," County")</f>
        <v>PART THREE (A):  USES OF FUNDS  -  2024-0 Wesley Square, Norcross, Gwinnett County</v>
      </c>
      <c r="B2" s="3402"/>
      <c r="C2" s="3402"/>
      <c r="D2" s="3402"/>
      <c r="E2" s="3402"/>
      <c r="F2" s="3402"/>
      <c r="G2" s="3402"/>
      <c r="H2" s="3402"/>
      <c r="I2" s="3402"/>
      <c r="J2" s="3402"/>
      <c r="K2" s="3402"/>
      <c r="L2" s="3402"/>
      <c r="M2" s="3402"/>
      <c r="N2" s="3402"/>
      <c r="O2" s="3402"/>
      <c r="P2" s="3402"/>
      <c r="Q2" s="3402"/>
      <c r="R2" s="3402"/>
      <c r="S2" s="3402"/>
      <c r="T2" s="3402"/>
      <c r="W2" s="3403" t="str">
        <f>A2</f>
        <v>PART THREE (A):  USES OF FUNDS  -  2024-0 Wesley Square, Norcross, Gwinnett County</v>
      </c>
      <c r="X2" s="3403"/>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4" t="str">
        <f>'Part I-Project Identification'!$A$6</f>
        <v>2024 May 7</v>
      </c>
      <c r="E6" s="3404"/>
      <c r="F6" s="3404"/>
      <c r="G6" s="3404"/>
      <c r="H6" s="3404"/>
      <c r="I6" s="375"/>
      <c r="J6" s="3315" t="s">
        <v>259</v>
      </c>
      <c r="K6" s="3316"/>
      <c r="L6" s="280"/>
      <c r="M6" s="3328" t="s">
        <v>459</v>
      </c>
      <c r="N6" s="3329"/>
      <c r="P6" s="3315" t="s">
        <v>260</v>
      </c>
      <c r="Q6" s="3316"/>
      <c r="S6" s="3315" t="s">
        <v>261</v>
      </c>
      <c r="T6" s="3316"/>
      <c r="V6" s="343" t="str">
        <f>B6</f>
        <v>DEVELOPMENT BUDGET</v>
      </c>
      <c r="AZ6" s="1655"/>
      <c r="BA6" s="1618">
        <v>6</v>
      </c>
    </row>
    <row r="7" spans="1:53" s="144" customFormat="1" ht="19.5" customHeight="1" thickBot="1">
      <c r="D7" s="1168"/>
      <c r="E7" s="1168"/>
      <c r="F7" s="1168"/>
      <c r="G7" s="3332" t="s">
        <v>95</v>
      </c>
      <c r="H7" s="3333"/>
      <c r="J7" s="3317"/>
      <c r="K7" s="3318"/>
      <c r="L7" s="280"/>
      <c r="M7" s="3330"/>
      <c r="N7" s="3331"/>
      <c r="P7" s="3317"/>
      <c r="Q7" s="3318"/>
      <c r="S7" s="3317"/>
      <c r="T7" s="3318"/>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4">
        <v>5000</v>
      </c>
      <c r="H9" s="3185"/>
      <c r="J9" s="3184">
        <v>5000</v>
      </c>
      <c r="K9" s="3185"/>
      <c r="L9" s="815"/>
      <c r="M9" s="3184"/>
      <c r="N9" s="3185"/>
      <c r="P9" s="3184"/>
      <c r="Q9" s="3185"/>
      <c r="S9" s="3184"/>
      <c r="T9" s="3185"/>
      <c r="V9" s="836"/>
      <c r="W9" s="3236"/>
      <c r="X9" s="3237"/>
      <c r="AZ9" s="1655"/>
      <c r="BA9" s="1618">
        <v>9</v>
      </c>
    </row>
    <row r="10" spans="1:53" s="144" customFormat="1" ht="11.25" customHeight="1">
      <c r="B10" s="144" t="s">
        <v>430</v>
      </c>
      <c r="G10" s="3164">
        <v>6400</v>
      </c>
      <c r="H10" s="3165"/>
      <c r="J10" s="3164">
        <v>6400</v>
      </c>
      <c r="K10" s="3165"/>
      <c r="L10" s="815"/>
      <c r="M10" s="3164"/>
      <c r="N10" s="3165"/>
      <c r="P10" s="3164"/>
      <c r="Q10" s="3165"/>
      <c r="S10" s="3164"/>
      <c r="T10" s="3165"/>
      <c r="V10" s="836"/>
      <c r="W10" s="3236"/>
      <c r="X10" s="3237"/>
      <c r="AZ10" s="1655"/>
      <c r="BA10" s="1618">
        <v>10</v>
      </c>
    </row>
    <row r="11" spans="1:53" s="144" customFormat="1" ht="11.25" customHeight="1">
      <c r="B11" s="144" t="s">
        <v>457</v>
      </c>
      <c r="G11" s="3164">
        <v>45700</v>
      </c>
      <c r="H11" s="3165"/>
      <c r="J11" s="3164">
        <v>45700</v>
      </c>
      <c r="K11" s="3165"/>
      <c r="L11" s="815"/>
      <c r="M11" s="3164"/>
      <c r="N11" s="3165"/>
      <c r="P11" s="3164"/>
      <c r="Q11" s="3165"/>
      <c r="S11" s="3164"/>
      <c r="T11" s="3165"/>
      <c r="V11" s="836"/>
      <c r="W11" s="3236"/>
      <c r="X11" s="3237"/>
      <c r="AZ11" s="1655"/>
      <c r="BA11" s="1618">
        <v>11</v>
      </c>
    </row>
    <row r="12" spans="1:53" s="144" customFormat="1" ht="11.25" customHeight="1">
      <c r="B12" s="144" t="s">
        <v>458</v>
      </c>
      <c r="G12" s="3164">
        <v>20000</v>
      </c>
      <c r="H12" s="3165"/>
      <c r="J12" s="3164">
        <v>20000</v>
      </c>
      <c r="K12" s="3165"/>
      <c r="L12" s="815"/>
      <c r="M12" s="3164"/>
      <c r="N12" s="3165"/>
      <c r="P12" s="3164"/>
      <c r="Q12" s="3165"/>
      <c r="S12" s="3164"/>
      <c r="T12" s="3165"/>
      <c r="V12" s="836"/>
      <c r="W12" s="3236"/>
      <c r="X12" s="3237"/>
      <c r="AZ12" s="1655"/>
      <c r="BA12" s="1618">
        <v>12</v>
      </c>
    </row>
    <row r="13" spans="1:53" s="144" customFormat="1" ht="11.25" customHeight="1">
      <c r="B13" s="144" t="s">
        <v>2295</v>
      </c>
      <c r="G13" s="3164">
        <v>20500</v>
      </c>
      <c r="H13" s="3165"/>
      <c r="J13" s="3164">
        <v>20500</v>
      </c>
      <c r="K13" s="3165"/>
      <c r="L13" s="815"/>
      <c r="M13" s="3164"/>
      <c r="N13" s="3165"/>
      <c r="P13" s="3164"/>
      <c r="Q13" s="3165"/>
      <c r="S13" s="3164"/>
      <c r="T13" s="3165"/>
      <c r="V13" s="836"/>
      <c r="W13" s="3236"/>
      <c r="X13" s="3237"/>
      <c r="AZ13" s="1655"/>
      <c r="BA13" s="1618">
        <v>13</v>
      </c>
    </row>
    <row r="14" spans="1:53" s="144" customFormat="1" ht="11.25" customHeight="1">
      <c r="B14" s="144" t="s">
        <v>183</v>
      </c>
      <c r="G14" s="3164">
        <v>31000</v>
      </c>
      <c r="H14" s="3165"/>
      <c r="J14" s="3164">
        <v>31000</v>
      </c>
      <c r="K14" s="3165"/>
      <c r="L14" s="815"/>
      <c r="M14" s="3164"/>
      <c r="N14" s="3165"/>
      <c r="P14" s="3164"/>
      <c r="Q14" s="3165"/>
      <c r="S14" s="3164"/>
      <c r="T14" s="3165"/>
      <c r="V14" s="836"/>
      <c r="W14" s="3236"/>
      <c r="X14" s="3237"/>
      <c r="AZ14" s="1655"/>
      <c r="BA14" s="1618">
        <v>14</v>
      </c>
    </row>
    <row r="15" spans="1:53" s="144" customFormat="1" ht="11.25" customHeight="1">
      <c r="A15" s="303" t="str">
        <f>IF(AND(G15&gt;0,OR(C15="",C15="&lt;Enter detailed description here; use Comments section if needed&gt;")),"X","")</f>
        <v/>
      </c>
      <c r="B15" s="147" t="s">
        <v>4167</v>
      </c>
      <c r="C15" s="3326" t="s">
        <v>5139</v>
      </c>
      <c r="D15" s="3326"/>
      <c r="E15" s="3326"/>
      <c r="F15" s="3327"/>
      <c r="G15" s="3164">
        <v>5000</v>
      </c>
      <c r="H15" s="3165"/>
      <c r="J15" s="3164"/>
      <c r="K15" s="3165"/>
      <c r="L15" s="815"/>
      <c r="M15" s="3164"/>
      <c r="N15" s="3165"/>
      <c r="P15" s="3164"/>
      <c r="Q15" s="3165"/>
      <c r="S15" s="3164">
        <v>5000</v>
      </c>
      <c r="T15" s="3165"/>
      <c r="U15" s="302" t="str">
        <f>IF(AND(G15&gt;0,OR(C15="",C15="&lt;Enter detailed description here; use Comments section if needed&gt;")),"NO DESCRIPTION PROVIDED - please enter detailed description in Other box at left; use Comments section below if needed.","")</f>
        <v/>
      </c>
      <c r="V15" s="837"/>
      <c r="W15" s="3236"/>
      <c r="X15" s="3237"/>
      <c r="AZ15" s="1655" t="s">
        <v>4261</v>
      </c>
      <c r="BA15" s="1618">
        <v>15</v>
      </c>
    </row>
    <row r="16" spans="1:53" s="144" customFormat="1" ht="11.25" customHeight="1">
      <c r="A16" s="303" t="str">
        <f>IF(AND(G16&gt;0,OR(C16="",C16="&lt;Enter detailed description here; use Comments section if needed&gt;")),"X","")</f>
        <v/>
      </c>
      <c r="B16" s="147" t="s">
        <v>4168</v>
      </c>
      <c r="C16" s="3326" t="s">
        <v>4613</v>
      </c>
      <c r="D16" s="3326"/>
      <c r="E16" s="3326"/>
      <c r="F16" s="3327"/>
      <c r="G16" s="3164"/>
      <c r="H16" s="3165"/>
      <c r="J16" s="3164"/>
      <c r="K16" s="3165"/>
      <c r="L16" s="815"/>
      <c r="M16" s="3164"/>
      <c r="N16" s="3165"/>
      <c r="P16" s="3164"/>
      <c r="Q16" s="3165"/>
      <c r="S16" s="3164"/>
      <c r="T16" s="3165"/>
      <c r="U16" s="302" t="str">
        <f>IF(AND(G16&gt;0,OR(C16="",C16="&lt;Enter detailed description here; use Comments section if needed&gt;")),"NO DESCRIPTION PROVIDED - please enter detailed description in Other box at left; use Comments section below if needed.","")</f>
        <v/>
      </c>
      <c r="V16" s="837"/>
      <c r="W16" s="3236"/>
      <c r="X16" s="3237"/>
      <c r="AZ16" s="1655" t="s">
        <v>4262</v>
      </c>
      <c r="BA16" s="1618">
        <v>16</v>
      </c>
    </row>
    <row r="17" spans="1:53" s="144" customFormat="1" ht="11.25" customHeight="1" thickBot="1">
      <c r="A17" s="303" t="str">
        <f>IF(AND(G17&gt;0,OR(C17="",C17="&lt;Enter detailed description here; use Comments section if needed&gt;")),"X","")</f>
        <v/>
      </c>
      <c r="B17" s="147" t="s">
        <v>4169</v>
      </c>
      <c r="C17" s="3326" t="s">
        <v>4613</v>
      </c>
      <c r="D17" s="3326"/>
      <c r="E17" s="3326"/>
      <c r="F17" s="3327"/>
      <c r="G17" s="3334"/>
      <c r="H17" s="3335"/>
      <c r="J17" s="3334"/>
      <c r="K17" s="3335"/>
      <c r="L17" s="815"/>
      <c r="M17" s="3334"/>
      <c r="N17" s="3335"/>
      <c r="P17" s="3334"/>
      <c r="Q17" s="3335"/>
      <c r="S17" s="3334"/>
      <c r="T17" s="3335"/>
      <c r="U17" s="302" t="str">
        <f>IF(AND(G17&gt;0,OR(C17="",C17="&lt;Enter detailed description here; use Comments section if needed&gt;")),"NO DESCRIPTION PROVIDED - please enter detailed description in Other box at left; use Comments section below if needed.","")</f>
        <v/>
      </c>
      <c r="V17" s="837"/>
      <c r="W17" s="3287"/>
      <c r="X17" s="3288"/>
      <c r="AZ17" s="1655" t="s">
        <v>4263</v>
      </c>
      <c r="BA17" s="1618">
        <v>17</v>
      </c>
    </row>
    <row r="18" spans="1:53" s="144" customFormat="1" ht="12.6" customHeight="1" thickTop="1">
      <c r="F18" s="281" t="s">
        <v>184</v>
      </c>
      <c r="G18" s="3324">
        <f>SUM(G9:G17)</f>
        <v>133600</v>
      </c>
      <c r="H18" s="3325"/>
      <c r="J18" s="3324">
        <f>SUM(J9:J17)</f>
        <v>128600</v>
      </c>
      <c r="K18" s="3325"/>
      <c r="L18" s="815"/>
      <c r="M18" s="3324">
        <f>SUM(M9:M17)</f>
        <v>0</v>
      </c>
      <c r="N18" s="3325"/>
      <c r="P18" s="3324">
        <f>SUM(P9:P17)</f>
        <v>0</v>
      </c>
      <c r="Q18" s="3325"/>
      <c r="S18" s="3324">
        <f>SUM(S9:S17)</f>
        <v>5000</v>
      </c>
      <c r="T18" s="3325"/>
      <c r="V18" s="838">
        <f>SUM(V9:V17)</f>
        <v>0</v>
      </c>
      <c r="W18" s="3308"/>
      <c r="X18" s="3309"/>
      <c r="AZ18" s="1655" t="s">
        <v>4264</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139751.55279503105</v>
      </c>
      <c r="G20" s="3184">
        <v>900000</v>
      </c>
      <c r="H20" s="3185"/>
      <c r="J20" s="283"/>
      <c r="K20" s="280"/>
      <c r="L20" s="283"/>
      <c r="M20" s="283"/>
      <c r="N20" s="280"/>
      <c r="P20" s="283"/>
      <c r="Q20" s="280"/>
      <c r="S20" s="3184">
        <v>900000</v>
      </c>
      <c r="T20" s="3185"/>
      <c r="V20" s="836"/>
      <c r="W20" s="3236"/>
      <c r="X20" s="3237"/>
      <c r="AZ20" s="1655"/>
      <c r="BA20" s="1618">
        <v>20</v>
      </c>
    </row>
    <row r="21" spans="1:53" s="144" customFormat="1" ht="11.25" customHeight="1">
      <c r="B21" s="144" t="s">
        <v>1053</v>
      </c>
      <c r="G21" s="3164">
        <v>5000</v>
      </c>
      <c r="H21" s="3165"/>
      <c r="J21" s="283"/>
      <c r="K21" s="280"/>
      <c r="L21" s="283"/>
      <c r="M21" s="283"/>
      <c r="N21" s="280"/>
      <c r="P21" s="283"/>
      <c r="Q21" s="280"/>
      <c r="S21" s="3164">
        <v>5000</v>
      </c>
      <c r="T21" s="3165"/>
      <c r="V21" s="836"/>
      <c r="W21" s="3236"/>
      <c r="X21" s="3237"/>
      <c r="AZ21" s="1655"/>
      <c r="BA21" s="1618">
        <v>21</v>
      </c>
    </row>
    <row r="22" spans="1:53" s="144" customFormat="1" ht="11.25" customHeight="1">
      <c r="B22" s="144" t="s">
        <v>431</v>
      </c>
      <c r="G22" s="3164"/>
      <c r="H22" s="3165"/>
      <c r="J22" s="283"/>
      <c r="K22" s="280"/>
      <c r="L22" s="283"/>
      <c r="M22" s="3184"/>
      <c r="N22" s="3185"/>
      <c r="P22" s="283"/>
      <c r="Q22" s="280"/>
      <c r="S22" s="3164"/>
      <c r="T22" s="3165"/>
      <c r="V22" s="836"/>
      <c r="W22" s="3236"/>
      <c r="X22" s="3237"/>
      <c r="AZ22" s="1655"/>
      <c r="BA22" s="1618">
        <v>22</v>
      </c>
    </row>
    <row r="23" spans="1:53" s="144" customFormat="1" ht="11.25" customHeight="1" thickBot="1">
      <c r="B23" s="144" t="s">
        <v>404</v>
      </c>
      <c r="G23" s="3334"/>
      <c r="H23" s="3335"/>
      <c r="J23" s="283"/>
      <c r="K23" s="280"/>
      <c r="L23" s="283"/>
      <c r="M23" s="3334"/>
      <c r="N23" s="3335"/>
      <c r="P23" s="283"/>
      <c r="Q23" s="280"/>
      <c r="S23" s="3334"/>
      <c r="T23" s="3335"/>
      <c r="V23" s="836"/>
      <c r="W23" s="3287"/>
      <c r="X23" s="3288"/>
      <c r="AZ23" s="1655"/>
      <c r="BA23" s="1618">
        <v>23</v>
      </c>
    </row>
    <row r="24" spans="1:53" s="144" customFormat="1" ht="12.6" customHeight="1" thickTop="1">
      <c r="F24" s="281" t="s">
        <v>184</v>
      </c>
      <c r="G24" s="3324">
        <f>SUM(G20:G23)</f>
        <v>905000</v>
      </c>
      <c r="H24" s="3325"/>
      <c r="J24" s="283"/>
      <c r="K24" s="280"/>
      <c r="L24" s="283"/>
      <c r="M24" s="3324">
        <f>SUM(M22:M23)</f>
        <v>0</v>
      </c>
      <c r="N24" s="3325"/>
      <c r="P24" s="283"/>
      <c r="Q24" s="280"/>
      <c r="S24" s="3324">
        <f>SUM(S20:S23)</f>
        <v>905000</v>
      </c>
      <c r="T24" s="3325"/>
      <c r="V24" s="838">
        <f>SUM(V20:V23)</f>
        <v>0</v>
      </c>
      <c r="W24" s="3308"/>
      <c r="X24" s="3309"/>
      <c r="AZ24" s="1655" t="s">
        <v>4265</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302795.03105590062</v>
      </c>
      <c r="G26" s="3184">
        <v>1950000</v>
      </c>
      <c r="H26" s="3185"/>
      <c r="J26" s="3184">
        <v>1657500</v>
      </c>
      <c r="K26" s="3185"/>
      <c r="L26" s="815"/>
      <c r="M26" s="3399"/>
      <c r="N26" s="3400"/>
      <c r="P26" s="3399"/>
      <c r="Q26" s="3400"/>
      <c r="S26" s="3184">
        <v>292500</v>
      </c>
      <c r="T26" s="3185"/>
      <c r="V26" s="836"/>
      <c r="W26" s="3236"/>
      <c r="X26" s="3237"/>
      <c r="AZ26" s="1655"/>
      <c r="BA26" s="1618">
        <v>26</v>
      </c>
    </row>
    <row r="27" spans="1:53" s="144" customFormat="1" ht="11.25" customHeight="1" thickBot="1">
      <c r="B27" s="144" t="s">
        <v>1056</v>
      </c>
      <c r="G27" s="3334"/>
      <c r="H27" s="3335"/>
      <c r="J27" s="3334"/>
      <c r="K27" s="3335"/>
      <c r="L27" s="284"/>
      <c r="M27" s="3398"/>
      <c r="N27" s="3398"/>
      <c r="P27" s="3398"/>
      <c r="Q27" s="3398"/>
      <c r="S27" s="3334"/>
      <c r="T27" s="3335"/>
      <c r="V27" s="836"/>
      <c r="W27" s="3287"/>
      <c r="X27" s="3288"/>
      <c r="AZ27" s="1655"/>
      <c r="BA27" s="1618">
        <v>27</v>
      </c>
    </row>
    <row r="28" spans="1:53" s="144" customFormat="1" ht="12.6" customHeight="1" thickTop="1">
      <c r="F28" s="281" t="s">
        <v>184</v>
      </c>
      <c r="G28" s="3324">
        <f>SUM(G26:G27)</f>
        <v>1950000</v>
      </c>
      <c r="H28" s="3325"/>
      <c r="J28" s="3324">
        <f>SUM(J26:J27)</f>
        <v>1657500</v>
      </c>
      <c r="K28" s="3325"/>
      <c r="L28" s="283"/>
      <c r="M28" s="3324">
        <f>M26</f>
        <v>0</v>
      </c>
      <c r="N28" s="3325"/>
      <c r="P28" s="3324">
        <f>P26</f>
        <v>0</v>
      </c>
      <c r="Q28" s="3325"/>
      <c r="S28" s="3324">
        <f>SUM(S26:S27)</f>
        <v>292500</v>
      </c>
      <c r="T28" s="3325"/>
      <c r="V28" s="838">
        <f>SUM(V26:V27)</f>
        <v>0</v>
      </c>
      <c r="W28" s="3308"/>
      <c r="X28" s="3309"/>
      <c r="AZ28" s="1655" t="s">
        <v>4266</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4">
        <v>12750000</v>
      </c>
      <c r="H30" s="3185"/>
      <c r="J30" s="3184">
        <f>G30</f>
        <v>12750000</v>
      </c>
      <c r="K30" s="3185"/>
      <c r="L30" s="815"/>
      <c r="M30" s="3184"/>
      <c r="N30" s="3185"/>
      <c r="P30" s="3184"/>
      <c r="Q30" s="3185"/>
      <c r="S30" s="3184"/>
      <c r="T30" s="3185"/>
      <c r="V30" s="836"/>
      <c r="W30" s="3236"/>
      <c r="X30" s="3237"/>
      <c r="AZ30" s="1655"/>
      <c r="BA30" s="1618">
        <v>30</v>
      </c>
    </row>
    <row r="31" spans="1:53" s="144" customFormat="1" ht="11.25" customHeight="1">
      <c r="B31" s="144" t="s">
        <v>1059</v>
      </c>
      <c r="G31" s="3164"/>
      <c r="H31" s="3165"/>
      <c r="J31" s="3164"/>
      <c r="K31" s="3165"/>
      <c r="L31" s="815"/>
      <c r="M31" s="3164"/>
      <c r="N31" s="3165"/>
      <c r="P31" s="3164"/>
      <c r="Q31" s="3165"/>
      <c r="S31" s="3164"/>
      <c r="T31" s="3165"/>
      <c r="V31" s="836"/>
      <c r="W31" s="3236"/>
      <c r="X31" s="3237"/>
      <c r="AZ31" s="1655"/>
      <c r="BA31" s="1618">
        <v>31</v>
      </c>
    </row>
    <row r="32" spans="1:53" s="144" customFormat="1" ht="11.25" customHeight="1">
      <c r="B32" s="144" t="s">
        <v>3988</v>
      </c>
      <c r="G32" s="3164"/>
      <c r="H32" s="3165"/>
      <c r="J32" s="3164"/>
      <c r="K32" s="3165"/>
      <c r="L32" s="815"/>
      <c r="M32" s="3164"/>
      <c r="N32" s="3165"/>
      <c r="P32" s="3164"/>
      <c r="Q32" s="3165"/>
      <c r="S32" s="3164"/>
      <c r="T32" s="3165"/>
      <c r="V32" s="836"/>
      <c r="W32" s="3236"/>
      <c r="X32" s="3237"/>
      <c r="AZ32" s="1655"/>
      <c r="BA32" s="1618">
        <v>32</v>
      </c>
    </row>
    <row r="33" spans="1:53" s="144" customFormat="1" ht="11.25" customHeight="1">
      <c r="B33" s="144" t="s">
        <v>3986</v>
      </c>
      <c r="G33" s="3164"/>
      <c r="H33" s="3165"/>
      <c r="J33" s="3164"/>
      <c r="K33" s="3165"/>
      <c r="L33" s="815"/>
      <c r="M33" s="3164"/>
      <c r="N33" s="3165"/>
      <c r="P33" s="3164"/>
      <c r="Q33" s="3165"/>
      <c r="S33" s="3164"/>
      <c r="T33" s="3165"/>
      <c r="V33" s="836"/>
      <c r="W33" s="3236"/>
      <c r="X33" s="3237"/>
      <c r="AZ33" s="1655"/>
      <c r="BA33" s="1618">
        <v>33</v>
      </c>
    </row>
    <row r="34" spans="1:53" ht="11.25" customHeight="1">
      <c r="B34" s="144" t="s">
        <v>2487</v>
      </c>
      <c r="G34" s="3164"/>
      <c r="H34" s="3165"/>
      <c r="I34" s="144"/>
      <c r="J34" s="3164"/>
      <c r="K34" s="3165"/>
      <c r="L34" s="815"/>
      <c r="M34" s="3164"/>
      <c r="N34" s="3165"/>
      <c r="O34" s="144"/>
      <c r="P34" s="3164"/>
      <c r="Q34" s="3165"/>
      <c r="R34" s="144"/>
      <c r="S34" s="3164"/>
      <c r="T34" s="3165"/>
      <c r="V34" s="836"/>
      <c r="W34" s="3287"/>
      <c r="X34" s="3288"/>
      <c r="BA34" s="1618">
        <v>34</v>
      </c>
    </row>
    <row r="35" spans="1:53" ht="11.25" customHeight="1" thickBot="1">
      <c r="B35" s="144" t="s">
        <v>3987</v>
      </c>
      <c r="G35" s="3396"/>
      <c r="H35" s="3397"/>
      <c r="I35" s="144"/>
      <c r="J35" s="3396"/>
      <c r="K35" s="3397"/>
      <c r="L35" s="815"/>
      <c r="M35" s="3396"/>
      <c r="N35" s="3397"/>
      <c r="O35" s="144"/>
      <c r="P35" s="3396"/>
      <c r="Q35" s="3397"/>
      <c r="R35" s="144"/>
      <c r="S35" s="3396"/>
      <c r="T35" s="3397"/>
      <c r="V35" s="836"/>
      <c r="W35" s="3287"/>
      <c r="X35" s="3288"/>
      <c r="BA35" s="1618">
        <v>35</v>
      </c>
    </row>
    <row r="36" spans="1:53" s="144" customFormat="1" ht="12.6" customHeight="1" thickTop="1">
      <c r="C36" s="3395"/>
      <c r="D36" s="3395"/>
      <c r="E36" s="816"/>
      <c r="F36" s="281" t="s">
        <v>184</v>
      </c>
      <c r="G36" s="3324">
        <f>SUM(G30:G35)</f>
        <v>12750000</v>
      </c>
      <c r="H36" s="3325"/>
      <c r="J36" s="3324">
        <f>SUM(J30:J35)</f>
        <v>12750000</v>
      </c>
      <c r="K36" s="3325"/>
      <c r="L36" s="815"/>
      <c r="M36" s="3324">
        <f>SUM(M30:M35)</f>
        <v>0</v>
      </c>
      <c r="N36" s="3325"/>
      <c r="P36" s="3324">
        <f>SUM(P30:P35)</f>
        <v>0</v>
      </c>
      <c r="Q36" s="3325"/>
      <c r="S36" s="3324">
        <f>SUM(S30:S35)</f>
        <v>0</v>
      </c>
      <c r="T36" s="3325"/>
      <c r="V36" s="838">
        <f>SUM(V30:V35)</f>
        <v>0</v>
      </c>
      <c r="W36" s="3308"/>
      <c r="X36" s="3309"/>
      <c r="AZ36" s="1655" t="s">
        <v>4267</v>
      </c>
      <c r="BA36" s="1618">
        <v>36</v>
      </c>
    </row>
    <row r="37" spans="1:53" s="144" customFormat="1" ht="12" customHeight="1">
      <c r="B37" s="243" t="s">
        <v>2157</v>
      </c>
      <c r="D37" s="3394" t="s">
        <v>3139</v>
      </c>
      <c r="E37" s="3394"/>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882000</v>
      </c>
      <c r="F38" s="1859">
        <f>IF(($G$28+$G$36)=0,0,G38/($G$28+$G$36))</f>
        <v>0.06</v>
      </c>
      <c r="G38" s="3184">
        <v>882000</v>
      </c>
      <c r="H38" s="3185"/>
      <c r="I38" s="145"/>
      <c r="J38" s="3184">
        <v>882000</v>
      </c>
      <c r="K38" s="3185"/>
      <c r="L38" s="815"/>
      <c r="M38" s="3184"/>
      <c r="N38" s="3185"/>
      <c r="P38" s="3184"/>
      <c r="Q38" s="3185"/>
      <c r="S38" s="3184"/>
      <c r="T38" s="3185"/>
      <c r="V38" s="836"/>
      <c r="W38" s="3236"/>
      <c r="X38" s="3237"/>
      <c r="AZ38" s="1655"/>
      <c r="BA38" s="1618">
        <v>38</v>
      </c>
    </row>
    <row r="39" spans="1:53" s="144" customFormat="1" ht="11.25" customHeight="1">
      <c r="B39" s="144" t="s">
        <v>2468</v>
      </c>
      <c r="D39" s="1857">
        <f>'DCA Underwriting Assumptions'!$R$53</f>
        <v>0.02</v>
      </c>
      <c r="E39" s="1858">
        <f>ROUNDDOWN(D39*(G28+G36),0)</f>
        <v>294000</v>
      </c>
      <c r="F39" s="1859">
        <f>IF(($G$28+$G$36)=0,0,G39/($G$28+$G$36))</f>
        <v>0.02</v>
      </c>
      <c r="G39" s="3164">
        <v>294000</v>
      </c>
      <c r="H39" s="3165"/>
      <c r="I39" s="145"/>
      <c r="J39" s="3164">
        <v>294000</v>
      </c>
      <c r="K39" s="3165"/>
      <c r="L39" s="815"/>
      <c r="M39" s="3164"/>
      <c r="N39" s="3165"/>
      <c r="P39" s="3164"/>
      <c r="Q39" s="3165"/>
      <c r="S39" s="3164"/>
      <c r="T39" s="3165"/>
      <c r="V39" s="836"/>
      <c r="W39" s="3236"/>
      <c r="X39" s="3237"/>
      <c r="AZ39" s="1655"/>
      <c r="BA39" s="1618">
        <v>39</v>
      </c>
    </row>
    <row r="40" spans="1:53" s="144" customFormat="1" ht="11.25" customHeight="1" thickBot="1">
      <c r="B40" s="144" t="s">
        <v>2469</v>
      </c>
      <c r="D40" s="1860">
        <f>'DCA Underwriting Assumptions'!$R$54</f>
        <v>0.06</v>
      </c>
      <c r="E40" s="1861">
        <f>ROUNDDOWN(D40*(G28+G36),0)</f>
        <v>882000</v>
      </c>
      <c r="F40" s="1862">
        <f>IF(($G$28+$G$36)=0,0,G40/($G$28+$G$36))</f>
        <v>0.06</v>
      </c>
      <c r="G40" s="3334">
        <v>882000</v>
      </c>
      <c r="H40" s="3335"/>
      <c r="I40" s="145"/>
      <c r="J40" s="3334">
        <v>882000</v>
      </c>
      <c r="K40" s="3335"/>
      <c r="L40" s="815"/>
      <c r="M40" s="3334"/>
      <c r="N40" s="3335"/>
      <c r="P40" s="3334"/>
      <c r="Q40" s="3335"/>
      <c r="S40" s="3334"/>
      <c r="T40" s="3335"/>
      <c r="V40" s="836"/>
      <c r="W40" s="3287"/>
      <c r="X40" s="3288"/>
      <c r="AZ40" s="1655"/>
      <c r="BA40" s="1618">
        <v>40</v>
      </c>
    </row>
    <row r="41" spans="1:53" s="144" customFormat="1" ht="12.6" customHeight="1" thickTop="1">
      <c r="B41" s="147" t="s">
        <v>3140</v>
      </c>
      <c r="D41" s="748">
        <f>SUM(D38:D40)</f>
        <v>0.14000000000000001</v>
      </c>
      <c r="E41" s="749">
        <f>SUM(E38:E40)</f>
        <v>2058000</v>
      </c>
      <c r="F41" s="1856" t="s">
        <v>184</v>
      </c>
      <c r="G41" s="3324">
        <f>SUM(G38:G40)</f>
        <v>2058000</v>
      </c>
      <c r="H41" s="3325"/>
      <c r="J41" s="3324">
        <f>SUM(J38:J40)</f>
        <v>2058000</v>
      </c>
      <c r="K41" s="3325"/>
      <c r="L41" s="283"/>
      <c r="M41" s="3324">
        <f>SUM(M38:M40)</f>
        <v>0</v>
      </c>
      <c r="N41" s="3325"/>
      <c r="P41" s="3324">
        <f>SUM(P38:P40)</f>
        <v>0</v>
      </c>
      <c r="Q41" s="3325"/>
      <c r="S41" s="3324">
        <f>SUM(S38:S40)</f>
        <v>0</v>
      </c>
      <c r="T41" s="3325"/>
      <c r="V41" s="838">
        <f>SUM(V38:V40)</f>
        <v>0</v>
      </c>
      <c r="W41" s="3308"/>
      <c r="X41" s="3309"/>
      <c r="AZ41" s="1655" t="s">
        <v>4268</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4385</v>
      </c>
      <c r="D43" s="1624"/>
      <c r="E43" s="1561"/>
      <c r="F43" s="1561"/>
      <c r="G43" s="3390">
        <f>G28+G36+G41</f>
        <v>16758000</v>
      </c>
      <c r="H43" s="3391"/>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4269</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4170</v>
      </c>
      <c r="C46" s="3326" t="s">
        <v>4613</v>
      </c>
      <c r="D46" s="3392"/>
      <c r="E46" s="3392"/>
      <c r="F46" s="3393"/>
      <c r="G46" s="3385"/>
      <c r="H46" s="3386"/>
      <c r="I46" s="144"/>
      <c r="J46" s="3385"/>
      <c r="K46" s="3386"/>
      <c r="L46" s="815"/>
      <c r="M46" s="3385"/>
      <c r="N46" s="3386"/>
      <c r="O46" s="144"/>
      <c r="P46" s="3385"/>
      <c r="Q46" s="3386"/>
      <c r="R46" s="144"/>
      <c r="S46" s="3385"/>
      <c r="T46" s="3386"/>
      <c r="V46" s="836"/>
      <c r="W46" s="3373"/>
      <c r="X46" s="3374"/>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5"/>
      <c r="X47" s="3376"/>
      <c r="AZ47" s="1655" t="s">
        <v>4270</v>
      </c>
      <c r="BA47" s="1618">
        <v>47</v>
      </c>
    </row>
    <row r="48" spans="1:53" s="144" customFormat="1" ht="12.6" customHeight="1">
      <c r="B48" s="1577" t="s">
        <v>2472</v>
      </c>
      <c r="C48" s="1578"/>
      <c r="E48" s="3388" t="s">
        <v>2471</v>
      </c>
      <c r="F48" s="1579">
        <f>C49/'Part V-Revenues &amp; Expenses'!$P$65</f>
        <v>232750</v>
      </c>
      <c r="G48" s="1580" t="s">
        <v>2485</v>
      </c>
      <c r="H48" s="1581"/>
      <c r="I48" s="1581"/>
      <c r="J48" s="3381">
        <f>C49/'Part V-Revenues &amp; Expenses'!$P$67</f>
        <v>232750</v>
      </c>
      <c r="K48" s="3381"/>
      <c r="L48" s="1581"/>
      <c r="M48" s="3382" t="s">
        <v>4371</v>
      </c>
      <c r="N48" s="3382"/>
      <c r="O48" s="1581"/>
      <c r="P48" s="3381">
        <f>C49/'Part V-Revenues &amp; Expenses'!$K$179</f>
        <v>219.62727058268459</v>
      </c>
      <c r="Q48" s="3381"/>
      <c r="R48" s="1581"/>
      <c r="S48" s="3383" t="s">
        <v>4373</v>
      </c>
      <c r="T48" s="3384"/>
      <c r="V48" s="839"/>
      <c r="W48" s="3375"/>
      <c r="X48" s="3376"/>
      <c r="AZ48" s="1655"/>
      <c r="BA48" s="1618">
        <v>48</v>
      </c>
    </row>
    <row r="49" spans="1:53" s="144" customFormat="1" ht="12.6" customHeight="1">
      <c r="B49" s="1626" t="s">
        <v>4384</v>
      </c>
      <c r="C49" s="1625">
        <f>G28+G36+G41+G46</f>
        <v>16758000</v>
      </c>
      <c r="E49" s="3389"/>
      <c r="F49" s="1582">
        <f>C49/'Part V-Revenues &amp; Expenses'!$P$170</f>
        <v>236.68822914606932</v>
      </c>
      <c r="G49" s="1583" t="s">
        <v>2486</v>
      </c>
      <c r="H49" s="1584"/>
      <c r="I49" s="1584"/>
      <c r="J49" s="3371">
        <f>C49/'Part V-Revenues &amp; Expenses'!$P$172</f>
        <v>236.68822914606932</v>
      </c>
      <c r="K49" s="3371"/>
      <c r="L49" s="1584"/>
      <c r="M49" s="3372" t="s">
        <v>4372</v>
      </c>
      <c r="N49" s="3372"/>
      <c r="O49" s="1584"/>
      <c r="P49" s="1584"/>
      <c r="Q49" s="1584"/>
      <c r="R49" s="1584"/>
      <c r="S49" s="1584"/>
      <c r="T49" s="1585"/>
      <c r="V49" s="839"/>
      <c r="W49" s="3377"/>
      <c r="X49" s="3378"/>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5" t="s">
        <v>259</v>
      </c>
      <c r="K51" s="3316"/>
      <c r="L51" s="280"/>
      <c r="M51" s="3328" t="s">
        <v>459</v>
      </c>
      <c r="N51" s="3329"/>
      <c r="P51" s="3315" t="s">
        <v>260</v>
      </c>
      <c r="Q51" s="3316"/>
      <c r="S51" s="3315" t="s">
        <v>261</v>
      </c>
      <c r="T51" s="3316"/>
      <c r="V51" s="839"/>
      <c r="W51" s="343" t="str">
        <f>B51</f>
        <v>DEVELOPMENT BUDGET (cont'd)</v>
      </c>
      <c r="AZ51" s="1655"/>
      <c r="BA51" s="1618">
        <v>58</v>
      </c>
    </row>
    <row r="52" spans="1:53" s="144" customFormat="1" ht="18.75" customHeight="1" thickBot="1">
      <c r="G52" s="3332" t="s">
        <v>95</v>
      </c>
      <c r="H52" s="3333"/>
      <c r="J52" s="3317"/>
      <c r="K52" s="3318"/>
      <c r="L52" s="280"/>
      <c r="M52" s="3330"/>
      <c r="N52" s="3331"/>
      <c r="P52" s="3317"/>
      <c r="Q52" s="3318"/>
      <c r="S52" s="3317"/>
      <c r="T52" s="3318"/>
      <c r="V52" s="839"/>
      <c r="W52" s="3387" t="s">
        <v>2441</v>
      </c>
      <c r="X52" s="3387"/>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4192</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837900</v>
      </c>
      <c r="F55" s="1666">
        <f>G55/C49</f>
        <v>0.05</v>
      </c>
      <c r="G55" s="3385">
        <v>837900</v>
      </c>
      <c r="H55" s="3386"/>
      <c r="I55" s="144"/>
      <c r="J55" s="3385">
        <v>837900</v>
      </c>
      <c r="K55" s="3386"/>
      <c r="L55" s="815"/>
      <c r="M55" s="3385"/>
      <c r="N55" s="3386"/>
      <c r="O55" s="144"/>
      <c r="P55" s="3385"/>
      <c r="Q55" s="3386"/>
      <c r="R55" s="144"/>
      <c r="S55" s="3385"/>
      <c r="T55" s="3386"/>
      <c r="V55" s="836"/>
      <c r="W55" s="3236"/>
      <c r="X55" s="3237"/>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3"/>
      <c r="X56" s="3374"/>
      <c r="AZ56" s="1655"/>
      <c r="BA56" s="1618">
        <v>53</v>
      </c>
    </row>
    <row r="57" spans="1:53" s="144" customFormat="1" ht="12.6" customHeight="1">
      <c r="B57" s="1586" t="s">
        <v>4193</v>
      </c>
      <c r="C57" s="1578"/>
      <c r="E57" s="3379" t="s">
        <v>4194</v>
      </c>
      <c r="F57" s="1579">
        <f>B58/'Part V-Revenues &amp; Expenses'!$P$65</f>
        <v>244387.5</v>
      </c>
      <c r="G57" s="1580" t="s">
        <v>2485</v>
      </c>
      <c r="H57" s="1581"/>
      <c r="I57" s="1581"/>
      <c r="J57" s="3381">
        <f>B58/'Part V-Revenues &amp; Expenses'!$P$67</f>
        <v>244387.5</v>
      </c>
      <c r="K57" s="3381"/>
      <c r="L57" s="1581"/>
      <c r="M57" s="3382" t="s">
        <v>4371</v>
      </c>
      <c r="N57" s="3382"/>
      <c r="O57" s="1581"/>
      <c r="P57" s="3381">
        <f>B58/'Part V-Revenues &amp; Expenses'!$K$179</f>
        <v>230.60863411181882</v>
      </c>
      <c r="Q57" s="3381"/>
      <c r="R57" s="1581"/>
      <c r="S57" s="3383" t="s">
        <v>4373</v>
      </c>
      <c r="T57" s="3384"/>
      <c r="V57" s="839"/>
      <c r="W57" s="3375"/>
      <c r="X57" s="3376"/>
      <c r="AZ57" s="1655"/>
      <c r="BA57" s="1618">
        <v>54</v>
      </c>
    </row>
    <row r="58" spans="1:53" s="144" customFormat="1" ht="12.6" customHeight="1">
      <c r="B58" s="3369">
        <f>C49+G55</f>
        <v>17595900</v>
      </c>
      <c r="C58" s="3370"/>
      <c r="E58" s="3380"/>
      <c r="F58" s="1582">
        <f>B58/'Part V-Revenues &amp; Expenses'!$P$170</f>
        <v>248.52264060337279</v>
      </c>
      <c r="G58" s="1583" t="s">
        <v>2486</v>
      </c>
      <c r="H58" s="1584"/>
      <c r="I58" s="1584"/>
      <c r="J58" s="3371">
        <f>B58/'Part V-Revenues &amp; Expenses'!$P$172</f>
        <v>248.52264060337279</v>
      </c>
      <c r="K58" s="3371"/>
      <c r="L58" s="1584"/>
      <c r="M58" s="3372" t="s">
        <v>4372</v>
      </c>
      <c r="N58" s="3372"/>
      <c r="O58" s="1584"/>
      <c r="P58" s="1584"/>
      <c r="Q58" s="1584"/>
      <c r="R58" s="1584"/>
      <c r="S58" s="1584"/>
      <c r="T58" s="1585"/>
      <c r="V58" s="839"/>
      <c r="W58" s="3375"/>
      <c r="X58" s="3376"/>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7"/>
      <c r="X59" s="3378"/>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84"/>
      <c r="H61" s="3185"/>
      <c r="J61" s="3184"/>
      <c r="K61" s="3185"/>
      <c r="L61" s="815"/>
      <c r="M61" s="3184"/>
      <c r="N61" s="3185"/>
      <c r="P61" s="3184"/>
      <c r="Q61" s="3185"/>
      <c r="S61" s="3184"/>
      <c r="T61" s="3185"/>
      <c r="V61" s="840"/>
      <c r="W61" s="3236"/>
      <c r="X61" s="3237"/>
      <c r="AZ61" s="1655"/>
      <c r="BA61" s="1618">
        <v>61</v>
      </c>
    </row>
    <row r="62" spans="1:53" s="144" customFormat="1" ht="12" customHeight="1">
      <c r="B62" s="144" t="s">
        <v>3142</v>
      </c>
      <c r="G62" s="3164">
        <v>9000</v>
      </c>
      <c r="H62" s="3165"/>
      <c r="J62" s="3164">
        <v>9000</v>
      </c>
      <c r="K62" s="3165"/>
      <c r="L62" s="815"/>
      <c r="M62" s="3164"/>
      <c r="N62" s="3165"/>
      <c r="P62" s="3164"/>
      <c r="Q62" s="3165"/>
      <c r="S62" s="3164"/>
      <c r="T62" s="3165"/>
      <c r="V62" s="840"/>
      <c r="W62" s="3236"/>
      <c r="X62" s="3237"/>
      <c r="AZ62" s="1655"/>
      <c r="BA62" s="1618">
        <v>62</v>
      </c>
    </row>
    <row r="63" spans="1:53" s="144" customFormat="1" ht="12" customHeight="1">
      <c r="B63" s="144" t="s">
        <v>2160</v>
      </c>
      <c r="G63" s="3164">
        <v>165000</v>
      </c>
      <c r="H63" s="3165"/>
      <c r="J63" s="3164">
        <v>165000</v>
      </c>
      <c r="K63" s="3165"/>
      <c r="L63" s="815"/>
      <c r="M63" s="3164"/>
      <c r="N63" s="3165"/>
      <c r="P63" s="3164"/>
      <c r="Q63" s="3165"/>
      <c r="S63" s="3164"/>
      <c r="T63" s="3165"/>
      <c r="V63" s="840"/>
      <c r="W63" s="3236"/>
      <c r="X63" s="3237"/>
      <c r="AZ63" s="1655"/>
      <c r="BA63" s="1618">
        <v>63</v>
      </c>
    </row>
    <row r="64" spans="1:53" s="144" customFormat="1" ht="12" customHeight="1">
      <c r="B64" s="144" t="s">
        <v>2161</v>
      </c>
      <c r="G64" s="3164">
        <v>1174509</v>
      </c>
      <c r="H64" s="3165"/>
      <c r="J64" s="3164">
        <v>998333</v>
      </c>
      <c r="K64" s="3165"/>
      <c r="L64" s="815"/>
      <c r="M64" s="3164"/>
      <c r="N64" s="3165"/>
      <c r="P64" s="3164"/>
      <c r="Q64" s="3165"/>
      <c r="S64" s="3164">
        <v>176176</v>
      </c>
      <c r="T64" s="3165"/>
      <c r="V64" s="840"/>
      <c r="W64" s="3236"/>
      <c r="X64" s="3237"/>
      <c r="AZ64" s="1655"/>
      <c r="BA64" s="1618">
        <v>64</v>
      </c>
    </row>
    <row r="65" spans="1:53" s="144" customFormat="1" ht="12" customHeight="1">
      <c r="B65" s="144" t="s">
        <v>2162</v>
      </c>
      <c r="G65" s="3164">
        <v>50000</v>
      </c>
      <c r="H65" s="3165"/>
      <c r="J65" s="3164">
        <v>50000</v>
      </c>
      <c r="K65" s="3165"/>
      <c r="L65" s="815"/>
      <c r="M65" s="3164"/>
      <c r="N65" s="3165"/>
      <c r="P65" s="3164"/>
      <c r="Q65" s="3165"/>
      <c r="S65" s="3164"/>
      <c r="T65" s="3165"/>
      <c r="V65" s="840"/>
      <c r="W65" s="3236"/>
      <c r="X65" s="3237"/>
      <c r="AZ65" s="1655" t="s">
        <v>4271</v>
      </c>
      <c r="BA65" s="1618">
        <v>65</v>
      </c>
    </row>
    <row r="66" spans="1:53" s="144" customFormat="1" ht="12" customHeight="1">
      <c r="B66" s="144" t="s">
        <v>2443</v>
      </c>
      <c r="G66" s="3164">
        <v>55000</v>
      </c>
      <c r="H66" s="3165"/>
      <c r="J66" s="3164">
        <v>55000</v>
      </c>
      <c r="K66" s="3165"/>
      <c r="L66" s="815"/>
      <c r="M66" s="3164"/>
      <c r="N66" s="3165"/>
      <c r="P66" s="3164"/>
      <c r="Q66" s="3165"/>
      <c r="S66" s="3164"/>
      <c r="T66" s="3165"/>
      <c r="V66" s="840"/>
      <c r="W66" s="3236"/>
      <c r="X66" s="3237"/>
      <c r="AZ66" s="1655" t="s">
        <v>4272</v>
      </c>
      <c r="BA66" s="1618">
        <v>66</v>
      </c>
    </row>
    <row r="67" spans="1:53" s="144" customFormat="1" ht="12" customHeight="1">
      <c r="B67" s="144" t="s">
        <v>675</v>
      </c>
      <c r="G67" s="3164">
        <v>25000</v>
      </c>
      <c r="H67" s="3165"/>
      <c r="J67" s="3164">
        <v>25000</v>
      </c>
      <c r="K67" s="3165"/>
      <c r="L67" s="815"/>
      <c r="M67" s="3164"/>
      <c r="N67" s="3165"/>
      <c r="P67" s="3164"/>
      <c r="Q67" s="3165"/>
      <c r="S67" s="3164"/>
      <c r="T67" s="3165"/>
      <c r="V67" s="840"/>
      <c r="W67" s="3236"/>
      <c r="X67" s="3237"/>
      <c r="AZ67" s="1655" t="s">
        <v>4273</v>
      </c>
      <c r="BA67" s="1618">
        <v>67</v>
      </c>
    </row>
    <row r="68" spans="1:53" s="144" customFormat="1" ht="12" customHeight="1">
      <c r="B68" s="144" t="s">
        <v>2163</v>
      </c>
      <c r="G68" s="3164">
        <v>80000</v>
      </c>
      <c r="H68" s="3165"/>
      <c r="J68" s="3164">
        <v>80000</v>
      </c>
      <c r="K68" s="3165"/>
      <c r="L68" s="815"/>
      <c r="M68" s="3164"/>
      <c r="N68" s="3165"/>
      <c r="P68" s="3164"/>
      <c r="Q68" s="3165"/>
      <c r="S68" s="3164"/>
      <c r="T68" s="3165"/>
      <c r="V68" s="840"/>
      <c r="W68" s="3236"/>
      <c r="X68" s="3237"/>
      <c r="AZ68" s="1655"/>
      <c r="BA68" s="1618">
        <v>68</v>
      </c>
    </row>
    <row r="69" spans="1:53" s="144" customFormat="1" ht="12" customHeight="1">
      <c r="B69" s="144" t="s">
        <v>1198</v>
      </c>
      <c r="G69" s="3164">
        <v>30000</v>
      </c>
      <c r="H69" s="3165"/>
      <c r="J69" s="3164">
        <v>30000</v>
      </c>
      <c r="K69" s="3165"/>
      <c r="L69" s="815"/>
      <c r="M69" s="3164"/>
      <c r="N69" s="3165"/>
      <c r="P69" s="3164"/>
      <c r="Q69" s="3165"/>
      <c r="S69" s="3164"/>
      <c r="T69" s="3165"/>
      <c r="V69" s="840"/>
      <c r="W69" s="3236"/>
      <c r="X69" s="3237"/>
      <c r="AZ69" s="1655"/>
      <c r="BA69" s="1618">
        <v>69</v>
      </c>
    </row>
    <row r="70" spans="1:53" s="144" customFormat="1" ht="12" customHeight="1">
      <c r="B70" s="287" t="s">
        <v>1084</v>
      </c>
      <c r="D70" s="285"/>
      <c r="E70" s="285"/>
      <c r="F70" s="286"/>
      <c r="G70" s="3164">
        <v>119060</v>
      </c>
      <c r="H70" s="3165"/>
      <c r="I70" s="145"/>
      <c r="J70" s="3164">
        <v>119060</v>
      </c>
      <c r="K70" s="3165"/>
      <c r="L70" s="815"/>
      <c r="M70" s="3164"/>
      <c r="N70" s="3165"/>
      <c r="P70" s="3164"/>
      <c r="Q70" s="3165"/>
      <c r="S70" s="3164"/>
      <c r="T70" s="3165"/>
      <c r="V70" s="840"/>
      <c r="W70" s="3236"/>
      <c r="X70" s="3237"/>
      <c r="AZ70" s="1655"/>
      <c r="BA70" s="1618">
        <v>70</v>
      </c>
    </row>
    <row r="71" spans="1:53" s="144" customFormat="1" ht="12" customHeight="1">
      <c r="A71" s="303" t="str">
        <f>IF(AND(G71&gt;0,OR(C71="",C71="&lt;Enter detailed description here; use Comments section if needed&gt;")),"X","")</f>
        <v/>
      </c>
      <c r="B71" s="147" t="s">
        <v>4172</v>
      </c>
      <c r="C71" s="3361" t="s">
        <v>4613</v>
      </c>
      <c r="D71" s="3361"/>
      <c r="E71" s="3361"/>
      <c r="F71" s="3362"/>
      <c r="G71" s="3164"/>
      <c r="H71" s="3165"/>
      <c r="J71" s="3164"/>
      <c r="K71" s="3165"/>
      <c r="L71" s="815"/>
      <c r="M71" s="3164"/>
      <c r="N71" s="3165"/>
      <c r="P71" s="3164"/>
      <c r="Q71" s="3165"/>
      <c r="S71" s="3164"/>
      <c r="T71" s="3165"/>
      <c r="U71" s="302" t="str">
        <f>IF(AND(G71&gt;0,OR(C71="",C71="&lt;Enter detailed description here; use Comments section if needed&gt;")),"NO DESCRIPTION PROVIDED - please enter detailed description in Other box at left; use Comments section below if needed.","")</f>
        <v/>
      </c>
      <c r="V71" s="840"/>
      <c r="W71" s="3236"/>
      <c r="X71" s="3237"/>
      <c r="AZ71" s="1655"/>
      <c r="BA71" s="1618">
        <v>71</v>
      </c>
    </row>
    <row r="72" spans="1:53" s="144" customFormat="1" ht="12" customHeight="1" thickBot="1">
      <c r="A72" s="303" t="str">
        <f>IF(AND(G72&gt;0,OR(C72="",C72="&lt;Enter detailed description here; use Comments section if needed&gt;")),"X","")</f>
        <v/>
      </c>
      <c r="B72" s="147" t="s">
        <v>4173</v>
      </c>
      <c r="C72" s="3359" t="s">
        <v>4613</v>
      </c>
      <c r="D72" s="3359"/>
      <c r="E72" s="3359"/>
      <c r="F72" s="3360"/>
      <c r="G72" s="3156"/>
      <c r="H72" s="3157"/>
      <c r="J72" s="3156"/>
      <c r="K72" s="3157"/>
      <c r="L72" s="815"/>
      <c r="M72" s="3156"/>
      <c r="N72" s="3157"/>
      <c r="P72" s="3156"/>
      <c r="Q72" s="3157"/>
      <c r="S72" s="3156"/>
      <c r="T72" s="3157"/>
      <c r="U72" s="302" t="str">
        <f>IF(AND(G72&gt;0,OR(C72="",C72="&lt;Enter detailed description here; use Comments section if needed&gt;")),"NO DESCRIPTION PROVIDED - please enter detailed description in Other box at left; use Comments section below if needed.","")</f>
        <v/>
      </c>
      <c r="V72" s="840"/>
      <c r="W72" s="3287"/>
      <c r="X72" s="3288"/>
      <c r="AZ72" s="1655"/>
      <c r="BA72" s="1618">
        <v>72</v>
      </c>
    </row>
    <row r="73" spans="1:53" s="144" customFormat="1" ht="12" customHeight="1" thickTop="1">
      <c r="F73" s="281" t="s">
        <v>184</v>
      </c>
      <c r="G73" s="3324">
        <f>SUM(G61:G72)</f>
        <v>1707569</v>
      </c>
      <c r="H73" s="3325"/>
      <c r="J73" s="3324">
        <f>SUM(J61:J72)</f>
        <v>1531393</v>
      </c>
      <c r="K73" s="3325"/>
      <c r="L73" s="283"/>
      <c r="M73" s="3324">
        <f>SUM(M61:M72)</f>
        <v>0</v>
      </c>
      <c r="N73" s="3325"/>
      <c r="P73" s="3324">
        <f>SUM(P61:P72)</f>
        <v>0</v>
      </c>
      <c r="Q73" s="3325"/>
      <c r="S73" s="3324">
        <f>SUM(S61:S72)</f>
        <v>176176</v>
      </c>
      <c r="T73" s="3325"/>
      <c r="V73" s="841">
        <f>SUM(V61:V72)</f>
        <v>0</v>
      </c>
      <c r="W73" s="3308"/>
      <c r="X73" s="3309"/>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4">
        <v>275000</v>
      </c>
      <c r="H75" s="3185"/>
      <c r="J75" s="3184">
        <v>275000</v>
      </c>
      <c r="K75" s="3185"/>
      <c r="L75" s="815"/>
      <c r="M75" s="3184"/>
      <c r="N75" s="3185"/>
      <c r="P75" s="3184"/>
      <c r="Q75" s="3185"/>
      <c r="S75" s="3184"/>
      <c r="T75" s="3185"/>
      <c r="V75" s="836"/>
      <c r="W75" s="3236"/>
      <c r="X75" s="3237"/>
      <c r="AZ75" s="1655"/>
      <c r="BA75" s="1618">
        <v>75</v>
      </c>
    </row>
    <row r="76" spans="1:53" s="144" customFormat="1" ht="12" customHeight="1">
      <c r="B76" s="144" t="s">
        <v>450</v>
      </c>
      <c r="G76" s="3164">
        <v>75000</v>
      </c>
      <c r="H76" s="3165"/>
      <c r="J76" s="3164">
        <v>75000</v>
      </c>
      <c r="K76" s="3165"/>
      <c r="L76" s="815"/>
      <c r="M76" s="3164"/>
      <c r="N76" s="3165"/>
      <c r="P76" s="3164"/>
      <c r="Q76" s="3165"/>
      <c r="S76" s="3164"/>
      <c r="T76" s="3165"/>
      <c r="V76" s="836"/>
      <c r="W76" s="3236"/>
      <c r="X76" s="3237"/>
      <c r="AZ76" s="1655"/>
      <c r="BA76" s="1618">
        <v>76</v>
      </c>
    </row>
    <row r="77" spans="1:53" s="144" customFormat="1" ht="12" customHeight="1">
      <c r="B77" s="144" t="s">
        <v>1060</v>
      </c>
      <c r="D77" s="247"/>
      <c r="E77" s="831"/>
      <c r="F77" s="392"/>
      <c r="G77" s="3164">
        <v>20000</v>
      </c>
      <c r="H77" s="3165"/>
      <c r="J77" s="3164">
        <v>20000</v>
      </c>
      <c r="K77" s="3165"/>
      <c r="L77" s="815"/>
      <c r="M77" s="3164"/>
      <c r="N77" s="3165"/>
      <c r="P77" s="3164"/>
      <c r="Q77" s="3165"/>
      <c r="S77" s="3164"/>
      <c r="T77" s="3165"/>
      <c r="V77" s="836"/>
      <c r="W77" s="3236"/>
      <c r="X77" s="3237"/>
      <c r="AZ77" s="1655"/>
      <c r="BA77" s="1618">
        <v>77</v>
      </c>
    </row>
    <row r="78" spans="1:53" s="144" customFormat="1" ht="12" customHeight="1">
      <c r="B78" s="144" t="s">
        <v>1061</v>
      </c>
      <c r="G78" s="3164">
        <v>20000</v>
      </c>
      <c r="H78" s="3165"/>
      <c r="J78" s="3164">
        <v>20000</v>
      </c>
      <c r="K78" s="3165"/>
      <c r="L78" s="815"/>
      <c r="M78" s="3164"/>
      <c r="N78" s="3165"/>
      <c r="P78" s="3164"/>
      <c r="Q78" s="3165"/>
      <c r="S78" s="3164"/>
      <c r="T78" s="3165"/>
      <c r="V78" s="836"/>
      <c r="W78" s="3236"/>
      <c r="X78" s="3237"/>
      <c r="AZ78" s="1655"/>
      <c r="BA78" s="1618">
        <v>78</v>
      </c>
    </row>
    <row r="79" spans="1:53" s="144" customFormat="1" ht="12" customHeight="1">
      <c r="B79" s="144" t="s">
        <v>1062</v>
      </c>
      <c r="G79" s="3164">
        <v>8100</v>
      </c>
      <c r="H79" s="3165"/>
      <c r="J79" s="3164">
        <v>8100</v>
      </c>
      <c r="K79" s="3165"/>
      <c r="L79" s="815"/>
      <c r="M79" s="3164"/>
      <c r="N79" s="3165"/>
      <c r="P79" s="3164"/>
      <c r="Q79" s="3165"/>
      <c r="S79" s="3164"/>
      <c r="T79" s="3165"/>
      <c r="V79" s="836"/>
      <c r="W79" s="3236"/>
      <c r="X79" s="3237"/>
      <c r="AZ79" s="1655" t="s">
        <v>4274</v>
      </c>
      <c r="BA79" s="1618">
        <v>79</v>
      </c>
    </row>
    <row r="80" spans="1:53" s="144" customFormat="1" ht="12" customHeight="1">
      <c r="B80" s="144" t="s">
        <v>1063</v>
      </c>
      <c r="G80" s="3164">
        <v>50000</v>
      </c>
      <c r="H80" s="3165"/>
      <c r="J80" s="3164">
        <v>50000</v>
      </c>
      <c r="K80" s="3165"/>
      <c r="L80" s="815"/>
      <c r="M80" s="3164"/>
      <c r="N80" s="3165"/>
      <c r="P80" s="3164"/>
      <c r="Q80" s="3165"/>
      <c r="S80" s="3164"/>
      <c r="T80" s="3165"/>
      <c r="V80" s="836"/>
      <c r="W80" s="3236"/>
      <c r="X80" s="3237"/>
      <c r="AZ80" s="1655" t="s">
        <v>4275</v>
      </c>
      <c r="BA80" s="1618">
        <v>80</v>
      </c>
    </row>
    <row r="81" spans="1:53" s="144" customFormat="1" ht="12" customHeight="1">
      <c r="B81" s="144" t="s">
        <v>451</v>
      </c>
      <c r="G81" s="3164">
        <v>92500</v>
      </c>
      <c r="H81" s="3165"/>
      <c r="J81" s="3164">
        <v>92500</v>
      </c>
      <c r="K81" s="3165"/>
      <c r="L81" s="815"/>
      <c r="M81" s="3164"/>
      <c r="N81" s="3165"/>
      <c r="P81" s="3164"/>
      <c r="Q81" s="3165"/>
      <c r="S81" s="3164"/>
      <c r="T81" s="3165"/>
      <c r="V81" s="836"/>
      <c r="W81" s="3236"/>
      <c r="X81" s="3237"/>
      <c r="AZ81" s="1651"/>
      <c r="BA81" s="1618">
        <v>81</v>
      </c>
    </row>
    <row r="82" spans="1:53" s="144" customFormat="1" ht="12" customHeight="1">
      <c r="B82" s="144" t="s">
        <v>452</v>
      </c>
      <c r="G82" s="3164">
        <v>30000</v>
      </c>
      <c r="H82" s="3165"/>
      <c r="J82" s="3164">
        <v>30000</v>
      </c>
      <c r="K82" s="3165"/>
      <c r="L82" s="815"/>
      <c r="M82" s="3164"/>
      <c r="N82" s="3165"/>
      <c r="P82" s="3164"/>
      <c r="Q82" s="3165"/>
      <c r="S82" s="3164"/>
      <c r="T82" s="3165"/>
      <c r="V82" s="836"/>
      <c r="W82" s="3236"/>
      <c r="X82" s="3237"/>
      <c r="AZ82" s="1655"/>
      <c r="BA82" s="1618">
        <v>82</v>
      </c>
    </row>
    <row r="83" spans="1:53" s="144" customFormat="1" ht="12" customHeight="1">
      <c r="B83" s="144" t="s">
        <v>1894</v>
      </c>
      <c r="G83" s="3164">
        <v>20000</v>
      </c>
      <c r="H83" s="3165"/>
      <c r="J83" s="3164"/>
      <c r="K83" s="3165"/>
      <c r="L83" s="815"/>
      <c r="M83" s="3164"/>
      <c r="N83" s="3165"/>
      <c r="P83" s="3164"/>
      <c r="Q83" s="3165"/>
      <c r="S83" s="3164">
        <v>20000</v>
      </c>
      <c r="T83" s="3165"/>
      <c r="V83" s="836"/>
      <c r="W83" s="3236"/>
      <c r="X83" s="3237"/>
      <c r="AZ83" s="1655"/>
      <c r="BA83" s="1618">
        <v>83</v>
      </c>
    </row>
    <row r="84" spans="1:53" s="144" customFormat="1" ht="12" customHeight="1">
      <c r="B84" s="144" t="s">
        <v>1199</v>
      </c>
      <c r="G84" s="3164">
        <v>5000</v>
      </c>
      <c r="H84" s="3165"/>
      <c r="J84" s="3164">
        <v>5000</v>
      </c>
      <c r="K84" s="3165"/>
      <c r="L84" s="815"/>
      <c r="M84" s="3164"/>
      <c r="N84" s="3165"/>
      <c r="P84" s="3164"/>
      <c r="Q84" s="3165"/>
      <c r="S84" s="3164"/>
      <c r="T84" s="3165"/>
      <c r="V84" s="836"/>
      <c r="W84" s="3236"/>
      <c r="X84" s="3237"/>
      <c r="AZ84" s="1655"/>
      <c r="BA84" s="1618">
        <v>84</v>
      </c>
    </row>
    <row r="85" spans="1:53" s="144" customFormat="1" ht="12" customHeight="1" thickBot="1">
      <c r="A85" s="303" t="str">
        <f>IF(AND(G85&gt;0,OR(C85="",C85="&lt;Enter detailed description here; use Comments section if needed&gt;")),"X","")</f>
        <v/>
      </c>
      <c r="B85" s="147" t="s">
        <v>4174</v>
      </c>
      <c r="C85" s="3326" t="s">
        <v>4613</v>
      </c>
      <c r="D85" s="3326"/>
      <c r="E85" s="3326"/>
      <c r="F85" s="3327"/>
      <c r="G85" s="3156"/>
      <c r="H85" s="3157"/>
      <c r="J85" s="3156"/>
      <c r="K85" s="3157"/>
      <c r="L85" s="815"/>
      <c r="M85" s="3156"/>
      <c r="N85" s="3157"/>
      <c r="P85" s="3156"/>
      <c r="Q85" s="3157"/>
      <c r="S85" s="3156"/>
      <c r="T85" s="3157"/>
      <c r="U85" s="302" t="str">
        <f>IF(AND(G85&gt;0,OR(C85="",C85="&lt;Enter detailed description here; use Comments section if needed&gt;")),"NO DESCRIPTION PROVIDED - please enter detailed description in Other box at left; use Comments section below if needed.","")</f>
        <v/>
      </c>
      <c r="V85" s="836"/>
      <c r="W85" s="3287"/>
      <c r="X85" s="3288"/>
      <c r="AZ85" s="1655"/>
      <c r="BA85" s="1618">
        <v>85</v>
      </c>
    </row>
    <row r="86" spans="1:53" s="144" customFormat="1" ht="12" customHeight="1" thickTop="1">
      <c r="F86" s="281" t="s">
        <v>184</v>
      </c>
      <c r="G86" s="3324">
        <f>SUM(G75:G85)</f>
        <v>595600</v>
      </c>
      <c r="H86" s="3325"/>
      <c r="J86" s="3324">
        <f>SUM(J75:J85)</f>
        <v>575600</v>
      </c>
      <c r="K86" s="3325"/>
      <c r="L86" s="283"/>
      <c r="M86" s="3324">
        <f>SUM(M75:M85)</f>
        <v>0</v>
      </c>
      <c r="N86" s="3325"/>
      <c r="P86" s="3324">
        <f>SUM(P75:P85)</f>
        <v>0</v>
      </c>
      <c r="Q86" s="3325"/>
      <c r="S86" s="3324">
        <f>SUM(S75:S85)</f>
        <v>20000</v>
      </c>
      <c r="T86" s="3325"/>
      <c r="V86" s="838">
        <f>SUM(V75:V85)</f>
        <v>0</v>
      </c>
      <c r="W86" s="3308"/>
      <c r="X86" s="3309"/>
      <c r="AZ86" s="1655" t="s">
        <v>4276</v>
      </c>
      <c r="BA86" s="1618">
        <v>86</v>
      </c>
    </row>
    <row r="87" spans="1:53" ht="12" customHeight="1">
      <c r="A87" s="144"/>
      <c r="B87" s="243" t="s">
        <v>1191</v>
      </c>
      <c r="C87" s="144"/>
      <c r="D87" s="678" t="s">
        <v>3143</v>
      </c>
      <c r="E87" s="750">
        <f>G92/'Part V-Revenues &amp; Expenses'!$P$67</f>
        <v>3611.6944444444443</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4">
        <v>31304</v>
      </c>
      <c r="H88" s="3185"/>
      <c r="J88" s="3184">
        <v>31304</v>
      </c>
      <c r="K88" s="3185"/>
      <c r="L88" s="815"/>
      <c r="M88" s="3184"/>
      <c r="N88" s="3185"/>
      <c r="P88" s="3184"/>
      <c r="Q88" s="3185"/>
      <c r="S88" s="3184"/>
      <c r="T88" s="3185"/>
      <c r="V88" s="836"/>
      <c r="W88" s="3236"/>
      <c r="X88" s="3237"/>
      <c r="AZ88" s="1655"/>
      <c r="BA88" s="1618">
        <v>88</v>
      </c>
    </row>
    <row r="89" spans="1:53" s="144" customFormat="1" ht="12" customHeight="1">
      <c r="B89" s="144" t="s">
        <v>1193</v>
      </c>
      <c r="G89" s="3164"/>
      <c r="H89" s="3165"/>
      <c r="J89" s="3164"/>
      <c r="K89" s="3165"/>
      <c r="L89" s="815"/>
      <c r="M89" s="3164"/>
      <c r="N89" s="3165"/>
      <c r="P89" s="3164"/>
      <c r="Q89" s="3165"/>
      <c r="S89" s="3164"/>
      <c r="T89" s="3165"/>
      <c r="V89" s="836"/>
      <c r="W89" s="3236"/>
      <c r="X89" s="3237"/>
      <c r="AZ89" s="1655"/>
      <c r="BA89" s="1618">
        <v>89</v>
      </c>
    </row>
    <row r="90" spans="1:53" s="144" customFormat="1" ht="12" customHeight="1">
      <c r="B90" s="144" t="s">
        <v>1194</v>
      </c>
      <c r="D90" s="289" t="s">
        <v>1322</v>
      </c>
      <c r="E90" s="850" t="s">
        <v>2644</v>
      </c>
      <c r="G90" s="3164">
        <v>135397</v>
      </c>
      <c r="H90" s="3165"/>
      <c r="I90" s="145"/>
      <c r="J90" s="3164">
        <v>135397</v>
      </c>
      <c r="K90" s="3165"/>
      <c r="L90" s="815"/>
      <c r="M90" s="3164"/>
      <c r="N90" s="3165"/>
      <c r="P90" s="3164"/>
      <c r="Q90" s="3165"/>
      <c r="S90" s="3164"/>
      <c r="T90" s="3165"/>
      <c r="V90" s="836"/>
      <c r="W90" s="3236"/>
      <c r="X90" s="3237"/>
      <c r="AZ90" s="1655"/>
      <c r="BA90" s="1618">
        <v>90</v>
      </c>
    </row>
    <row r="91" spans="1:53" s="144" customFormat="1" ht="12" customHeight="1" thickBot="1">
      <c r="B91" s="144" t="s">
        <v>1195</v>
      </c>
      <c r="D91" s="289" t="s">
        <v>1322</v>
      </c>
      <c r="E91" s="851" t="s">
        <v>2644</v>
      </c>
      <c r="G91" s="3156">
        <v>93341</v>
      </c>
      <c r="H91" s="3157"/>
      <c r="I91" s="145"/>
      <c r="J91" s="3156">
        <v>93341</v>
      </c>
      <c r="K91" s="3157"/>
      <c r="L91" s="815"/>
      <c r="M91" s="3156"/>
      <c r="N91" s="3157"/>
      <c r="P91" s="3156"/>
      <c r="Q91" s="3157"/>
      <c r="S91" s="3156"/>
      <c r="T91" s="3157"/>
      <c r="V91" s="836"/>
      <c r="W91" s="3287"/>
      <c r="X91" s="3288"/>
      <c r="AZ91" s="1655"/>
      <c r="BA91" s="1618">
        <v>91</v>
      </c>
    </row>
    <row r="92" spans="1:53" s="144" customFormat="1" ht="12" customHeight="1" thickTop="1">
      <c r="F92" s="281" t="s">
        <v>184</v>
      </c>
      <c r="G92" s="3324">
        <f>SUM(G88:G91)</f>
        <v>260042</v>
      </c>
      <c r="H92" s="3325"/>
      <c r="J92" s="3324">
        <f>SUM(J88:J91)</f>
        <v>260042</v>
      </c>
      <c r="K92" s="3325"/>
      <c r="L92" s="283"/>
      <c r="M92" s="3324">
        <f>SUM(M88:M91)</f>
        <v>0</v>
      </c>
      <c r="N92" s="3325"/>
      <c r="P92" s="3324">
        <f>SUM(P88:P91)</f>
        <v>0</v>
      </c>
      <c r="Q92" s="3325"/>
      <c r="S92" s="3324">
        <f>SUM(S88:S91)</f>
        <v>0</v>
      </c>
      <c r="T92" s="3325"/>
      <c r="V92" s="838">
        <f>SUM(V88:V91)</f>
        <v>0</v>
      </c>
      <c r="W92" s="3308"/>
      <c r="X92" s="3309"/>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5" t="s">
        <v>259</v>
      </c>
      <c r="K94" s="3316"/>
      <c r="L94" s="280"/>
      <c r="M94" s="3328" t="s">
        <v>459</v>
      </c>
      <c r="N94" s="3329"/>
      <c r="P94" s="3315" t="s">
        <v>260</v>
      </c>
      <c r="Q94" s="3316"/>
      <c r="S94" s="3315" t="s">
        <v>261</v>
      </c>
      <c r="T94" s="3316"/>
      <c r="V94" s="343" t="str">
        <f>B94</f>
        <v>DEVELOPMENT BUDGET  (cont'd)</v>
      </c>
      <c r="AZ94" s="1655"/>
      <c r="BA94" s="1618">
        <v>94</v>
      </c>
    </row>
    <row r="95" spans="1:53" s="144" customFormat="1" ht="18" customHeight="1" thickBot="1">
      <c r="G95" s="3332" t="s">
        <v>95</v>
      </c>
      <c r="H95" s="3333"/>
      <c r="J95" s="3317"/>
      <c r="K95" s="3318"/>
      <c r="L95" s="280"/>
      <c r="M95" s="3330"/>
      <c r="N95" s="3331"/>
      <c r="P95" s="3317"/>
      <c r="Q95" s="3318"/>
      <c r="S95" s="3317"/>
      <c r="T95" s="3318"/>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4277</v>
      </c>
      <c r="BA96" s="1618">
        <v>96</v>
      </c>
    </row>
    <row r="97" spans="1:53" s="144" customFormat="1" ht="12" customHeight="1">
      <c r="B97" s="144" t="s">
        <v>1196</v>
      </c>
      <c r="G97" s="3184">
        <v>38414</v>
      </c>
      <c r="H97" s="3185"/>
      <c r="J97" s="3358"/>
      <c r="K97" s="3358"/>
      <c r="L97" s="815"/>
      <c r="M97" s="3358"/>
      <c r="N97" s="3358"/>
      <c r="P97" s="3358"/>
      <c r="Q97" s="3358"/>
      <c r="S97" s="3184">
        <v>38414</v>
      </c>
      <c r="T97" s="3185"/>
      <c r="V97" s="836"/>
      <c r="W97" s="3236"/>
      <c r="X97" s="3237"/>
      <c r="AZ97" s="1655" t="s">
        <v>4278</v>
      </c>
      <c r="BA97" s="1618">
        <v>97</v>
      </c>
    </row>
    <row r="98" spans="1:53" s="144" customFormat="1" ht="12" customHeight="1">
      <c r="B98" s="144" t="s">
        <v>1197</v>
      </c>
      <c r="G98" s="3164">
        <v>25000</v>
      </c>
      <c r="H98" s="3165"/>
      <c r="J98" s="3358"/>
      <c r="K98" s="3358"/>
      <c r="L98" s="815"/>
      <c r="M98" s="3358"/>
      <c r="N98" s="3358"/>
      <c r="P98" s="3358"/>
      <c r="Q98" s="3358"/>
      <c r="S98" s="3164">
        <v>25000</v>
      </c>
      <c r="T98" s="3165"/>
      <c r="V98" s="836"/>
      <c r="W98" s="3236"/>
      <c r="X98" s="3237"/>
      <c r="AZ98" s="1655"/>
      <c r="BA98" s="1618">
        <v>98</v>
      </c>
    </row>
    <row r="99" spans="1:53" s="144" customFormat="1" ht="12" customHeight="1">
      <c r="B99" s="144" t="s">
        <v>1198</v>
      </c>
      <c r="G99" s="3164">
        <v>10000</v>
      </c>
      <c r="H99" s="3165"/>
      <c r="J99" s="3358"/>
      <c r="K99" s="3358"/>
      <c r="L99" s="815"/>
      <c r="M99" s="3358"/>
      <c r="N99" s="3358"/>
      <c r="P99" s="3358"/>
      <c r="Q99" s="3358"/>
      <c r="S99" s="3164">
        <v>10000</v>
      </c>
      <c r="T99" s="3165"/>
      <c r="V99" s="836"/>
      <c r="W99" s="3236"/>
      <c r="X99" s="3237"/>
      <c r="AZ99" s="1655"/>
      <c r="BA99" s="1618">
        <v>99</v>
      </c>
    </row>
    <row r="100" spans="1:53" s="144" customFormat="1" ht="12" customHeight="1">
      <c r="B100" s="144" t="s">
        <v>1200</v>
      </c>
      <c r="G100" s="3164"/>
      <c r="H100" s="3165"/>
      <c r="J100" s="3358"/>
      <c r="K100" s="3358"/>
      <c r="L100" s="815"/>
      <c r="M100" s="3358"/>
      <c r="N100" s="3358"/>
      <c r="P100" s="3358"/>
      <c r="Q100" s="3358"/>
      <c r="S100" s="3164"/>
      <c r="T100" s="3165"/>
      <c r="V100" s="836"/>
      <c r="W100" s="3236"/>
      <c r="X100" s="3237"/>
      <c r="AZ100" s="1655"/>
      <c r="BA100" s="1618">
        <v>100</v>
      </c>
    </row>
    <row r="101" spans="1:53" s="144" customFormat="1" ht="12" customHeight="1">
      <c r="B101" s="144" t="s">
        <v>2115</v>
      </c>
      <c r="G101" s="3164"/>
      <c r="H101" s="3165"/>
      <c r="J101" s="3358"/>
      <c r="K101" s="3358"/>
      <c r="L101" s="815"/>
      <c r="M101" s="3358"/>
      <c r="N101" s="3358"/>
      <c r="P101" s="3358"/>
      <c r="Q101" s="3358"/>
      <c r="S101" s="3164"/>
      <c r="T101" s="3165"/>
      <c r="V101" s="836"/>
      <c r="W101" s="3236"/>
      <c r="X101" s="3237"/>
      <c r="AZ101" s="1655"/>
      <c r="BA101" s="1618">
        <v>101</v>
      </c>
    </row>
    <row r="102" spans="1:53" s="144" customFormat="1" ht="12" customHeight="1" thickBot="1">
      <c r="A102" s="303" t="str">
        <f>IF(AND(G102&gt;0,OR(C102="",C102="&lt;Enter detailed description here; use Comments section if needed&gt;")),"X","")</f>
        <v/>
      </c>
      <c r="B102" s="147" t="s">
        <v>4175</v>
      </c>
      <c r="C102" s="3326" t="s">
        <v>4613</v>
      </c>
      <c r="D102" s="3326"/>
      <c r="E102" s="3326"/>
      <c r="F102" s="3327"/>
      <c r="G102" s="3156"/>
      <c r="H102" s="3157"/>
      <c r="J102" s="3358"/>
      <c r="K102" s="3358"/>
      <c r="L102" s="815"/>
      <c r="M102" s="3358"/>
      <c r="N102" s="3358"/>
      <c r="P102" s="3358"/>
      <c r="Q102" s="3358"/>
      <c r="S102" s="3156"/>
      <c r="T102" s="3157"/>
      <c r="U102" s="302" t="str">
        <f>IF(AND(G102&gt;0,OR(C102="",C102="&lt;Enter detailed description here; use Comments section if needed&gt;")),"NO DESCRIPTION PROVIDED - please enter detailed description in Other box at left; use Comments section below if needed.","")</f>
        <v/>
      </c>
      <c r="V102" s="836"/>
      <c r="W102" s="3287"/>
      <c r="X102" s="3288"/>
      <c r="AZ102" s="1655"/>
      <c r="BA102" s="1618">
        <v>102</v>
      </c>
    </row>
    <row r="103" spans="1:53" s="144" customFormat="1" ht="12" customHeight="1" thickTop="1">
      <c r="F103" s="281" t="s">
        <v>184</v>
      </c>
      <c r="G103" s="3324">
        <f>SUM(G97:G102)</f>
        <v>73414</v>
      </c>
      <c r="H103" s="3325"/>
      <c r="J103" s="3358"/>
      <c r="K103" s="3358"/>
      <c r="L103" s="283"/>
      <c r="M103" s="3358"/>
      <c r="N103" s="3358"/>
      <c r="P103" s="3358"/>
      <c r="Q103" s="3358"/>
      <c r="S103" s="3324">
        <f>SUM(S97:S102)</f>
        <v>73414</v>
      </c>
      <c r="T103" s="3325"/>
      <c r="V103" s="838">
        <f>SUM(V97:V102)</f>
        <v>0</v>
      </c>
      <c r="W103" s="3308"/>
      <c r="X103" s="3309"/>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3799</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5007</v>
      </c>
      <c r="G105" s="3184"/>
      <c r="H105" s="3185"/>
      <c r="J105" s="283"/>
      <c r="K105" s="283"/>
      <c r="L105" s="815"/>
      <c r="M105" s="283"/>
      <c r="N105" s="283"/>
      <c r="P105" s="283"/>
      <c r="Q105" s="283"/>
      <c r="S105" s="3184"/>
      <c r="T105" s="3185"/>
      <c r="V105" s="836"/>
      <c r="W105" s="3236"/>
      <c r="X105" s="3237"/>
      <c r="Y105" s="3368" t="s">
        <v>4595</v>
      </c>
      <c r="AA105" s="236" t="s">
        <v>4539</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4">
        <v>10000</v>
      </c>
      <c r="H106" s="3165"/>
      <c r="J106" s="283"/>
      <c r="K106" s="283"/>
      <c r="L106" s="290"/>
      <c r="M106" s="283"/>
      <c r="N106" s="283"/>
      <c r="P106" s="283"/>
      <c r="Q106" s="283"/>
      <c r="S106" s="3164">
        <v>10000</v>
      </c>
      <c r="T106" s="3165"/>
      <c r="V106" s="836"/>
      <c r="W106" s="3236"/>
      <c r="X106" s="3237"/>
      <c r="Y106" s="3368"/>
      <c r="AA106" s="1841" t="s">
        <v>3066</v>
      </c>
      <c r="AB106" s="1841"/>
      <c r="AC106" s="1841"/>
      <c r="AD106" s="1842">
        <f>'Part V-Revenues &amp; Expenses'!$P$67</f>
        <v>72</v>
      </c>
      <c r="AZ106" s="1655" t="s">
        <v>4279</v>
      </c>
      <c r="BA106" s="1618">
        <v>106</v>
      </c>
    </row>
    <row r="107" spans="1:53" s="144" customFormat="1" ht="12.6" customHeight="1">
      <c r="B107" s="144" t="s">
        <v>5008</v>
      </c>
      <c r="G107" s="3164"/>
      <c r="H107" s="3165"/>
      <c r="J107" s="283"/>
      <c r="K107" s="283"/>
      <c r="L107" s="290"/>
      <c r="M107" s="283"/>
      <c r="N107" s="283"/>
      <c r="P107" s="283"/>
      <c r="Q107" s="283"/>
      <c r="S107" s="3164"/>
      <c r="T107" s="3165"/>
      <c r="V107" s="836"/>
      <c r="W107" s="3236"/>
      <c r="X107" s="3237"/>
      <c r="Y107" s="3368"/>
      <c r="Z107" s="301"/>
      <c r="AA107" s="225" t="s">
        <v>4600</v>
      </c>
      <c r="AB107" s="147"/>
      <c r="AC107" s="147"/>
      <c r="AD107" s="147"/>
      <c r="AF107" s="1846" t="s">
        <v>4601</v>
      </c>
      <c r="AZ107" s="1655" t="s">
        <v>4280</v>
      </c>
      <c r="BA107" s="1618">
        <v>107</v>
      </c>
    </row>
    <row r="108" spans="1:53" s="144" customFormat="1" ht="12.6" customHeight="1">
      <c r="B108" s="144" t="s">
        <v>485</v>
      </c>
      <c r="E108" s="3363">
        <f ca="1">ROUNDUP('DCA Underwriting Assumptions'!$Q$70*J191,0)</f>
        <v>104000</v>
      </c>
      <c r="F108" s="3364"/>
      <c r="G108" s="3164">
        <v>104000</v>
      </c>
      <c r="H108" s="3165"/>
      <c r="J108" s="751" t="str">
        <f ca="1">IF(E108&gt;G108,"WARNING!  LIHTC Allocation Fee proposed is below minimum required.","")</f>
        <v/>
      </c>
      <c r="K108" s="283"/>
      <c r="L108" s="815"/>
      <c r="M108" s="283"/>
      <c r="N108" s="283"/>
      <c r="P108" s="283"/>
      <c r="Q108" s="283"/>
      <c r="S108" s="3164">
        <v>104000</v>
      </c>
      <c r="T108" s="3165"/>
      <c r="V108" s="836"/>
      <c r="W108" s="3236"/>
      <c r="X108" s="3237"/>
      <c r="Y108" s="3368"/>
      <c r="Z108" s="301"/>
      <c r="AA108" s="147" t="s">
        <v>4596</v>
      </c>
      <c r="AB108" s="147"/>
      <c r="AC108" s="147"/>
      <c r="AD108" s="234">
        <f>'Part V-Revenues &amp; Expenses'!P140+'Part V-Revenues &amp; Expenses'!P141</f>
        <v>0</v>
      </c>
      <c r="AF108" s="1844">
        <f>AD108*'DCA Underwriting Assumptions'!$Q$77</f>
        <v>0</v>
      </c>
      <c r="AZ108" s="1655" t="s">
        <v>4281</v>
      </c>
      <c r="BA108" s="1618">
        <v>108</v>
      </c>
    </row>
    <row r="109" spans="1:53" s="144" customFormat="1" ht="12.6" customHeight="1">
      <c r="B109" s="144" t="s">
        <v>701</v>
      </c>
      <c r="E109" s="3363">
        <f>AF111+AF115</f>
        <v>57600</v>
      </c>
      <c r="F109" s="3364"/>
      <c r="G109" s="3164">
        <v>57600</v>
      </c>
      <c r="H109" s="3165"/>
      <c r="I109" s="3365" t="str">
        <f>IF(E109&gt;G109,"WARNING!  LIHTC Compliance Fee proposed is below minimum required.","")</f>
        <v/>
      </c>
      <c r="J109" s="3366"/>
      <c r="K109" s="3366"/>
      <c r="L109" s="3366"/>
      <c r="M109" s="3366"/>
      <c r="N109" s="3366"/>
      <c r="O109" s="3366"/>
      <c r="P109" s="3366"/>
      <c r="Q109" s="3366"/>
      <c r="R109" s="3367"/>
      <c r="S109" s="3164">
        <v>57600</v>
      </c>
      <c r="T109" s="3165"/>
      <c r="V109" s="836"/>
      <c r="W109" s="3236"/>
      <c r="X109" s="3237"/>
      <c r="Y109" s="3368"/>
      <c r="Z109" s="301"/>
      <c r="AA109" s="147" t="s">
        <v>4183</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64"/>
      <c r="H110" s="3165"/>
      <c r="I110" s="3365"/>
      <c r="J110" s="3366"/>
      <c r="K110" s="3366"/>
      <c r="L110" s="3366"/>
      <c r="M110" s="3366"/>
      <c r="N110" s="3366"/>
      <c r="O110" s="3366"/>
      <c r="P110" s="3366"/>
      <c r="Q110" s="3366"/>
      <c r="R110" s="3367"/>
      <c r="S110" s="3164"/>
      <c r="T110" s="3165"/>
      <c r="V110" s="836"/>
      <c r="W110" s="3236"/>
      <c r="X110" s="3237"/>
      <c r="Y110" s="3368"/>
      <c r="AA110" s="147" t="s">
        <v>4597</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4737</v>
      </c>
      <c r="F111" s="956">
        <f>ROUNDUP('DCA Underwriting Assumptions'!$Q$73,0)</f>
        <v>8000</v>
      </c>
      <c r="G111" s="3164">
        <v>8000</v>
      </c>
      <c r="H111" s="3165"/>
      <c r="J111" s="145"/>
      <c r="K111" s="145"/>
      <c r="L111" s="145"/>
      <c r="M111" s="145"/>
      <c r="N111" s="145"/>
      <c r="O111" s="145"/>
      <c r="P111" s="145"/>
      <c r="Q111" s="145"/>
      <c r="S111" s="3164">
        <v>8000</v>
      </c>
      <c r="T111" s="3165"/>
      <c r="V111" s="836"/>
      <c r="W111" s="3236"/>
      <c r="X111" s="3237"/>
      <c r="AA111" s="147"/>
      <c r="AB111" s="1460" t="s">
        <v>4598</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4171</v>
      </c>
      <c r="C112" s="3361" t="s">
        <v>4613</v>
      </c>
      <c r="D112" s="3361"/>
      <c r="E112" s="3361"/>
      <c r="F112" s="3362"/>
      <c r="G112" s="3164"/>
      <c r="H112" s="3165"/>
      <c r="J112" s="145"/>
      <c r="K112" s="145"/>
      <c r="L112" s="145"/>
      <c r="M112" s="145"/>
      <c r="N112" s="145"/>
      <c r="O112" s="145"/>
      <c r="P112" s="145"/>
      <c r="Q112" s="145"/>
      <c r="S112" s="3164"/>
      <c r="T112" s="3165"/>
      <c r="U112" s="302" t="str">
        <f>IF(AND(G112&gt;0,OR(C112="",C112="&lt;Enter detailed description here; use Comments section if needed&gt;")),"NO DESCRIPTION PROVIDED - please enter detailed description in Other box at left; use Comments section below if needed.","")</f>
        <v/>
      </c>
      <c r="V112" s="836"/>
      <c r="W112" s="3236"/>
      <c r="X112" s="3237"/>
      <c r="AA112" s="225" t="s">
        <v>4599</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4171</v>
      </c>
      <c r="C113" s="3359" t="s">
        <v>4613</v>
      </c>
      <c r="D113" s="3359"/>
      <c r="E113" s="3359"/>
      <c r="F113" s="3360"/>
      <c r="G113" s="3156"/>
      <c r="H113" s="3157"/>
      <c r="J113" s="145"/>
      <c r="K113" s="145"/>
      <c r="L113" s="145"/>
      <c r="M113" s="145"/>
      <c r="N113" s="145"/>
      <c r="O113" s="145"/>
      <c r="P113" s="145"/>
      <c r="Q113" s="145"/>
      <c r="S113" s="3156"/>
      <c r="T113" s="3157"/>
      <c r="U113" s="302" t="str">
        <f>IF(AND(G113&gt;0,OR(C113="",C113="&lt;Enter detailed description here; use Comments section if needed&gt;")),"NO DESCRIPTION PROVIDED - please enter detailed description in Other box at left; use Comments section below if needed.","")</f>
        <v/>
      </c>
      <c r="V113" s="836"/>
      <c r="W113" s="3287"/>
      <c r="X113" s="3288"/>
      <c r="AA113" s="147" t="s">
        <v>36</v>
      </c>
      <c r="AB113" s="147"/>
      <c r="AC113" s="231"/>
      <c r="AD113" s="234">
        <f>'Part V-Revenues &amp; Expenses'!$P$131</f>
        <v>72</v>
      </c>
      <c r="AF113" s="1844">
        <f>IF($AD$105="Income Averaging",AD113*'DCA Underwriting Assumptions'!$Q$75,AD113*'DCA Underwriting Assumptions'!$Q$74)</f>
        <v>57600</v>
      </c>
      <c r="AZ113" s="1655" t="s">
        <v>4282</v>
      </c>
      <c r="BA113" s="1618">
        <v>113</v>
      </c>
    </row>
    <row r="114" spans="1:53" s="144" customFormat="1" ht="12.6" customHeight="1" thickTop="1">
      <c r="F114" s="281" t="s">
        <v>184</v>
      </c>
      <c r="G114" s="3324">
        <f>SUM(G105:G113)</f>
        <v>179600</v>
      </c>
      <c r="H114" s="3325"/>
      <c r="J114" s="283"/>
      <c r="K114" s="283"/>
      <c r="L114" s="815"/>
      <c r="M114" s="283"/>
      <c r="N114" s="283"/>
      <c r="P114" s="283"/>
      <c r="Q114" s="283"/>
      <c r="S114" s="3324">
        <f>SUM(S105:S113)</f>
        <v>179600</v>
      </c>
      <c r="T114" s="3325"/>
      <c r="V114" s="838">
        <f>SUM(V105:V113)</f>
        <v>0</v>
      </c>
      <c r="W114" s="3276"/>
      <c r="X114" s="3277"/>
      <c r="AA114" s="147" t="s">
        <v>4377</v>
      </c>
      <c r="AB114" s="147"/>
      <c r="AC114" s="241"/>
      <c r="AD114" s="234">
        <f>'Part V-Revenues &amp; Expenses'!$P$142+'Part V-Revenues &amp; Expenses'!$P$143</f>
        <v>0</v>
      </c>
      <c r="AF114" s="1844">
        <f>IF($AD$105="Income Averaging",AD114*'DCA Underwriting Assumptions'!$Q$75,AD114*'DCA Underwriting Assumptions'!$Q$74)</f>
        <v>0</v>
      </c>
      <c r="AZ114" s="1655" t="s">
        <v>4283</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4598</v>
      </c>
      <c r="AC115" s="147"/>
      <c r="AD115" s="1843">
        <f>SUM(AD113:AD114)</f>
        <v>72</v>
      </c>
      <c r="AF115" s="1845">
        <f>SUM(AF113:AF114)</f>
        <v>57600</v>
      </c>
      <c r="AZ115" s="1631"/>
      <c r="BA115" s="1618">
        <v>115</v>
      </c>
    </row>
    <row r="116" spans="1:53" s="144" customFormat="1" ht="12.6" customHeight="1">
      <c r="B116" s="144" t="s">
        <v>267</v>
      </c>
      <c r="G116" s="3184">
        <v>25000</v>
      </c>
      <c r="H116" s="3185"/>
      <c r="J116" s="3358"/>
      <c r="K116" s="3358"/>
      <c r="L116" s="815"/>
      <c r="M116" s="3358"/>
      <c r="N116" s="3358"/>
      <c r="P116" s="3358"/>
      <c r="Q116" s="3358"/>
      <c r="S116" s="3184">
        <v>25000</v>
      </c>
      <c r="T116" s="3185"/>
      <c r="V116" s="836"/>
      <c r="W116" s="3236"/>
      <c r="X116" s="3237"/>
      <c r="AZ116" s="1631"/>
      <c r="BA116" s="1618">
        <v>116</v>
      </c>
    </row>
    <row r="117" spans="1:53" s="144" customFormat="1" ht="12.6" customHeight="1">
      <c r="B117" s="144" t="s">
        <v>268</v>
      </c>
      <c r="G117" s="3164">
        <v>30000</v>
      </c>
      <c r="H117" s="3165"/>
      <c r="J117" s="3358"/>
      <c r="K117" s="3358"/>
      <c r="L117" s="815"/>
      <c r="M117" s="3358"/>
      <c r="N117" s="3358"/>
      <c r="P117" s="3358"/>
      <c r="Q117" s="3358"/>
      <c r="S117" s="3164">
        <v>30000</v>
      </c>
      <c r="T117" s="3165"/>
      <c r="V117" s="836"/>
      <c r="W117" s="3236"/>
      <c r="X117" s="3237"/>
      <c r="AZ117" s="1631"/>
      <c r="BA117" s="1618">
        <v>117</v>
      </c>
    </row>
    <row r="118" spans="1:53" s="144" customFormat="1" ht="12.6" customHeight="1">
      <c r="B118" s="144" t="s">
        <v>2194</v>
      </c>
      <c r="G118" s="3164">
        <v>50000</v>
      </c>
      <c r="H118" s="3165"/>
      <c r="J118" s="3358"/>
      <c r="K118" s="3358"/>
      <c r="L118" s="815"/>
      <c r="M118" s="3358"/>
      <c r="N118" s="3358"/>
      <c r="P118" s="3358"/>
      <c r="Q118" s="3358"/>
      <c r="S118" s="3164">
        <v>50000</v>
      </c>
      <c r="T118" s="3165"/>
      <c r="V118" s="836"/>
      <c r="W118" s="3236"/>
      <c r="X118" s="3237"/>
      <c r="AZ118" s="1631"/>
      <c r="BA118" s="1618">
        <v>118</v>
      </c>
    </row>
    <row r="119" spans="1:53" s="144" customFormat="1" ht="12.6" customHeight="1" thickBot="1">
      <c r="A119" s="303" t="str">
        <f>IF(AND(G119&gt;0,OR(C119="",C119="&lt;Enter detailed description here; use Comments section if needed&gt;")),"X","")</f>
        <v/>
      </c>
      <c r="B119" s="147" t="s">
        <v>4171</v>
      </c>
      <c r="C119" s="3326" t="s">
        <v>4613</v>
      </c>
      <c r="D119" s="3326"/>
      <c r="E119" s="3326"/>
      <c r="F119" s="3327"/>
      <c r="G119" s="3156"/>
      <c r="H119" s="3157"/>
      <c r="J119" s="3358"/>
      <c r="K119" s="3358"/>
      <c r="L119" s="815"/>
      <c r="M119" s="3358"/>
      <c r="N119" s="3358"/>
      <c r="P119" s="3358"/>
      <c r="Q119" s="3358"/>
      <c r="S119" s="3156"/>
      <c r="T119" s="3157"/>
      <c r="U119" s="302" t="str">
        <f>IF(AND(G119&gt;0,OR(C119="",C119="&lt;Enter detailed description here; use Comments section if needed&gt;")),"NO DESCRIPTION PROVIDED - please enter detailed description in Other box at left; use Comments section below if needed.","")</f>
        <v/>
      </c>
      <c r="V119" s="836"/>
      <c r="W119" s="3287"/>
      <c r="X119" s="3288"/>
      <c r="AZ119" s="1631"/>
      <c r="BA119" s="1618">
        <v>119</v>
      </c>
    </row>
    <row r="120" spans="1:53" s="144" customFormat="1" ht="12.6" customHeight="1" thickTop="1">
      <c r="F120" s="281" t="s">
        <v>184</v>
      </c>
      <c r="G120" s="3324">
        <f>SUM(G116:G119)</f>
        <v>105000</v>
      </c>
      <c r="H120" s="3325"/>
      <c r="J120" s="3358"/>
      <c r="K120" s="3358"/>
      <c r="L120" s="815"/>
      <c r="M120" s="3358"/>
      <c r="N120" s="3358"/>
      <c r="P120" s="3358"/>
      <c r="Q120" s="3358"/>
      <c r="S120" s="3324">
        <f>SUM(S116:S119)</f>
        <v>105000</v>
      </c>
      <c r="T120" s="3325"/>
      <c r="V120" s="838">
        <f>SUM(V116:V119)</f>
        <v>0</v>
      </c>
      <c r="W120" s="3308"/>
      <c r="X120" s="3309"/>
      <c r="AC120" s="3352" t="s">
        <v>3796</v>
      </c>
      <c r="AD120" s="3352" t="s">
        <v>3797</v>
      </c>
      <c r="AE120" s="3354" t="s">
        <v>3800</v>
      </c>
      <c r="AF120" s="3355" t="s">
        <v>3798</v>
      </c>
      <c r="AG120" s="3354" t="s">
        <v>3789</v>
      </c>
      <c r="AH120" s="3357" t="s">
        <v>4633</v>
      </c>
      <c r="AI120" s="3357"/>
      <c r="AZ120" s="1631"/>
      <c r="BA120" s="1618">
        <v>120</v>
      </c>
    </row>
    <row r="121" spans="1:53" s="144" customFormat="1" ht="13.35" customHeight="1">
      <c r="B121" s="243" t="s">
        <v>269</v>
      </c>
      <c r="E121" s="484" t="s">
        <v>3799</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3787</v>
      </c>
      <c r="Z121" s="236"/>
      <c r="AA121" s="231" t="s">
        <v>3793</v>
      </c>
      <c r="AB121" s="231" t="s">
        <v>3794</v>
      </c>
      <c r="AC121" s="3353"/>
      <c r="AD121" s="3353"/>
      <c r="AE121" s="3069"/>
      <c r="AF121" s="3356"/>
      <c r="AG121" s="3354"/>
      <c r="AH121" s="3357"/>
      <c r="AI121" s="3357"/>
      <c r="AK121" s="44"/>
      <c r="AZ121" s="1631" t="s">
        <v>4284</v>
      </c>
      <c r="BA121" s="1618">
        <v>121</v>
      </c>
    </row>
    <row r="122" spans="1:53" s="144" customFormat="1" ht="12.6" customHeight="1">
      <c r="B122" s="144" t="s">
        <v>1719</v>
      </c>
      <c r="F122" s="322">
        <f>IF($G$127=0,0,G122/$G$127)</f>
        <v>0</v>
      </c>
      <c r="G122" s="3349"/>
      <c r="H122" s="3349"/>
      <c r="J122" s="3350"/>
      <c r="K122" s="3351"/>
      <c r="L122" s="282"/>
      <c r="M122" s="3350"/>
      <c r="N122" s="3351"/>
      <c r="P122" s="3350"/>
      <c r="Q122" s="3351"/>
      <c r="S122" s="3350"/>
      <c r="T122" s="3351"/>
      <c r="V122" s="836"/>
      <c r="W122" s="3236"/>
      <c r="X122" s="3237"/>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7">
        <f>SUM(AE122:AE124)</f>
        <v>1848000</v>
      </c>
      <c r="AG122" s="3346">
        <f>'DCA Underwriting Assumptions'!$Q$89</f>
        <v>2285000</v>
      </c>
      <c r="AH122" s="3340">
        <f>MIN(AF122,AG122)</f>
        <v>1848000</v>
      </c>
      <c r="AI122" s="3341"/>
      <c r="AZ122" s="1631"/>
      <c r="BA122" s="1618">
        <v>122</v>
      </c>
    </row>
    <row r="123" spans="1:53" s="144" customFormat="1" ht="12.6" customHeight="1">
      <c r="B123" s="144" t="s">
        <v>3322</v>
      </c>
      <c r="F123" s="936"/>
      <c r="G123" s="241" t="s">
        <v>4614</v>
      </c>
      <c r="V123" s="836"/>
      <c r="W123" s="3236"/>
      <c r="X123" s="3237"/>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38"/>
      <c r="AG123" s="3347"/>
      <c r="AH123" s="3342"/>
      <c r="AI123" s="3343"/>
      <c r="AZ123" s="1631"/>
      <c r="BA123" s="1618">
        <v>123</v>
      </c>
    </row>
    <row r="124" spans="1:53" s="144" customFormat="1" ht="12.6" customHeight="1">
      <c r="B124" s="144" t="s">
        <v>1720</v>
      </c>
      <c r="F124" s="322">
        <f>IF($G$127=0,0,G124/$G$127)</f>
        <v>0</v>
      </c>
      <c r="G124" s="3184"/>
      <c r="H124" s="3185"/>
      <c r="J124" s="3184"/>
      <c r="K124" s="3185"/>
      <c r="L124" s="815"/>
      <c r="M124" s="3184"/>
      <c r="N124" s="3185"/>
      <c r="P124" s="3184"/>
      <c r="Q124" s="3185"/>
      <c r="S124" s="3184"/>
      <c r="T124" s="3185"/>
      <c r="V124" s="836"/>
      <c r="W124" s="3236"/>
      <c r="X124" s="3237"/>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33000</v>
      </c>
      <c r="AF124" s="3339"/>
      <c r="AG124" s="3348"/>
      <c r="AH124" s="3344"/>
      <c r="AI124" s="3345"/>
      <c r="AZ124" s="1631"/>
      <c r="BA124" s="1618">
        <v>124</v>
      </c>
    </row>
    <row r="125" spans="1:53" s="144" customFormat="1" ht="12.6" customHeight="1">
      <c r="B125" s="144" t="s">
        <v>3078</v>
      </c>
      <c r="F125" s="322">
        <f>IF($G$127=0,0,G125/$G$127)</f>
        <v>0</v>
      </c>
      <c r="G125" s="3164"/>
      <c r="H125" s="3165"/>
      <c r="J125" s="3164"/>
      <c r="K125" s="3165"/>
      <c r="L125" s="815"/>
      <c r="M125" s="3164"/>
      <c r="N125" s="3165"/>
      <c r="P125" s="3164"/>
      <c r="Q125" s="3165"/>
      <c r="S125" s="3164"/>
      <c r="T125" s="3165"/>
      <c r="V125" s="836"/>
      <c r="W125" s="3236"/>
      <c r="X125" s="3237"/>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7">
        <f>SUM(AE125:AE127)</f>
        <v>1848000</v>
      </c>
      <c r="AG125" s="3337">
        <f>'DCA Underwriting Assumptions'!$Q$90</f>
        <v>4000000</v>
      </c>
      <c r="AH125" s="3340">
        <f>MIN(AF125,AG125)</f>
        <v>1848000</v>
      </c>
      <c r="AI125" s="3341"/>
      <c r="AZ125" s="1631"/>
      <c r="BA125" s="1618">
        <v>125</v>
      </c>
    </row>
    <row r="126" spans="1:53" s="144" customFormat="1" ht="12.6" customHeight="1" thickBot="1">
      <c r="B126" s="144" t="s">
        <v>1712</v>
      </c>
      <c r="F126" s="322">
        <f>IF($G$127=0,0,G126/$G$127)</f>
        <v>1</v>
      </c>
      <c r="G126" s="3156">
        <v>1848000</v>
      </c>
      <c r="H126" s="3157"/>
      <c r="J126" s="3156">
        <v>1848000</v>
      </c>
      <c r="K126" s="3157"/>
      <c r="L126" s="815"/>
      <c r="M126" s="3156"/>
      <c r="N126" s="3157"/>
      <c r="P126" s="3156"/>
      <c r="Q126" s="3157"/>
      <c r="S126" s="3156"/>
      <c r="T126" s="3157"/>
      <c r="V126" s="836"/>
      <c r="W126" s="3287"/>
      <c r="X126" s="328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38"/>
      <c r="AG126" s="3338"/>
      <c r="AH126" s="3342"/>
      <c r="AI126" s="3343"/>
      <c r="AZ126" s="1655"/>
      <c r="BA126" s="1618">
        <v>126</v>
      </c>
    </row>
    <row r="127" spans="1:53" s="144" customFormat="1" ht="12.6" customHeight="1" thickTop="1">
      <c r="A127" s="1247" t="str">
        <f>IF(G127&gt;E127,"DF over limit!  Round down/Enter nbr.","")</f>
        <v/>
      </c>
      <c r="B127" s="1863"/>
      <c r="D127" s="484" t="s">
        <v>3795</v>
      </c>
      <c r="E127" s="1864">
        <f>IF(AF122+AF125=0,"Fill in Rent Chart!",IF(F121="9%",AH122,IF(F121="4%",AH125,"Select App Type!")))</f>
        <v>1848000</v>
      </c>
      <c r="F127" s="281" t="s">
        <v>184</v>
      </c>
      <c r="G127" s="3324">
        <f>SUM(G122:G126)</f>
        <v>1848000</v>
      </c>
      <c r="H127" s="3336"/>
      <c r="J127" s="3324">
        <f>SUM(J122:J126)</f>
        <v>1848000</v>
      </c>
      <c r="K127" s="3336"/>
      <c r="L127" s="815"/>
      <c r="M127" s="3324">
        <f>SUM(M122:M126)</f>
        <v>0</v>
      </c>
      <c r="N127" s="3336"/>
      <c r="P127" s="3324">
        <f>SUM(P122:P126)</f>
        <v>0</v>
      </c>
      <c r="Q127" s="3336"/>
      <c r="S127" s="3324">
        <f>SUM(S122:S126)</f>
        <v>0</v>
      </c>
      <c r="T127" s="3336"/>
      <c r="V127" s="838">
        <f>SUM(V122:V126)</f>
        <v>0</v>
      </c>
      <c r="W127" s="3308"/>
      <c r="X127" s="3309"/>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33000</v>
      </c>
      <c r="AF127" s="3339"/>
      <c r="AG127" s="3339"/>
      <c r="AH127" s="3344"/>
      <c r="AI127" s="3345"/>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4285</v>
      </c>
      <c r="BA128" s="1618">
        <v>128</v>
      </c>
    </row>
    <row r="129" spans="1:53" s="144" customFormat="1" ht="12.6" customHeight="1">
      <c r="B129" s="144" t="s">
        <v>241</v>
      </c>
      <c r="G129" s="3184">
        <v>35000</v>
      </c>
      <c r="H129" s="3185"/>
      <c r="J129" s="291"/>
      <c r="K129" s="291"/>
      <c r="L129" s="291"/>
      <c r="M129" s="291"/>
      <c r="N129" s="291"/>
      <c r="P129" s="291"/>
      <c r="Q129" s="291"/>
      <c r="S129" s="3184">
        <v>35000</v>
      </c>
      <c r="T129" s="3185"/>
      <c r="V129" s="836"/>
      <c r="W129" s="3236"/>
      <c r="X129" s="3237"/>
      <c r="Z129" s="1243"/>
      <c r="AB129" s="44"/>
      <c r="AC129"/>
      <c r="AD129"/>
      <c r="AF129"/>
      <c r="AG129"/>
      <c r="AH129"/>
      <c r="AI129"/>
      <c r="AJ129"/>
      <c r="AK129"/>
      <c r="AZ129" s="1655" t="s">
        <v>4286</v>
      </c>
      <c r="BA129" s="1618">
        <v>129</v>
      </c>
    </row>
    <row r="130" spans="1:53" s="144" customFormat="1" ht="12.6" customHeight="1">
      <c r="B130" s="144" t="s">
        <v>1434</v>
      </c>
      <c r="F130" s="364">
        <f>+'Part V-Revenues &amp; Expenses'!$Q$232*('DCA Underwriting Assumptions'!$Q$104/12)</f>
        <v>124501</v>
      </c>
      <c r="G130" s="3164">
        <v>126082</v>
      </c>
      <c r="H130" s="3165"/>
      <c r="J130" s="752" t="str">
        <f>IF(E130&gt;G130,"WARNING! Rent-Up Reserves proposed is below minimum - add comment.","")</f>
        <v/>
      </c>
      <c r="K130" s="752"/>
      <c r="L130" s="815"/>
      <c r="M130" s="737"/>
      <c r="N130" s="737"/>
      <c r="P130" s="737"/>
      <c r="Q130" s="737"/>
      <c r="S130" s="3164">
        <v>126082</v>
      </c>
      <c r="T130" s="3165"/>
      <c r="V130" s="836"/>
      <c r="W130" s="3236"/>
      <c r="X130" s="3237"/>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406028.94972609874</v>
      </c>
      <c r="G131" s="3164">
        <v>409078</v>
      </c>
      <c r="H131" s="3165"/>
      <c r="J131" s="752" t="str">
        <f>IF(E131&gt;G131,"WARNING! ODR proposed is below minimum - add comment.","")</f>
        <v/>
      </c>
      <c r="K131" s="290"/>
      <c r="L131" s="290"/>
      <c r="M131" s="290"/>
      <c r="N131" s="290"/>
      <c r="P131" s="290"/>
      <c r="Q131" s="290"/>
      <c r="S131" s="3164">
        <v>409078</v>
      </c>
      <c r="T131" s="3165"/>
      <c r="V131" s="836"/>
      <c r="W131" s="3236"/>
      <c r="X131" s="3237"/>
      <c r="Y131"/>
      <c r="Z131" s="1244"/>
      <c r="AB131" s="236"/>
      <c r="AD131"/>
      <c r="AG131"/>
      <c r="AH131"/>
      <c r="AI131"/>
      <c r="AZ131" s="1655"/>
      <c r="BA131" s="1618">
        <v>131</v>
      </c>
    </row>
    <row r="132" spans="1:53" s="144" customFormat="1" ht="12.6" customHeight="1">
      <c r="B132" s="144" t="s">
        <v>1169</v>
      </c>
      <c r="G132" s="3164"/>
      <c r="H132" s="3165"/>
      <c r="J132" s="291"/>
      <c r="K132" s="291"/>
      <c r="L132" s="291"/>
      <c r="M132" s="291"/>
      <c r="N132" s="291"/>
      <c r="P132" s="291"/>
      <c r="Q132" s="291"/>
      <c r="S132" s="3164"/>
      <c r="T132" s="3165"/>
      <c r="V132" s="836"/>
      <c r="W132" s="3236"/>
      <c r="X132" s="3237"/>
      <c r="AZ132" s="1655" t="s">
        <v>4287</v>
      </c>
      <c r="BA132" s="1618">
        <v>132</v>
      </c>
    </row>
    <row r="133" spans="1:53" s="144" customFormat="1" ht="12.6" customHeight="1">
      <c r="B133" s="144" t="s">
        <v>1170</v>
      </c>
      <c r="E133" s="646" t="s">
        <v>3052</v>
      </c>
      <c r="F133" s="364">
        <f>IF('Part V-Revenues &amp; Expenses'!$P$67=0,0,G133/'Part V-Revenues &amp; Expenses'!$P$67)</f>
        <v>2083.3333333333335</v>
      </c>
      <c r="G133" s="3164">
        <v>150000</v>
      </c>
      <c r="H133" s="3165"/>
      <c r="J133" s="3184">
        <v>150000</v>
      </c>
      <c r="K133" s="3185"/>
      <c r="L133" s="815"/>
      <c r="M133" s="3184"/>
      <c r="N133" s="3185"/>
      <c r="P133" s="3184"/>
      <c r="Q133" s="3185"/>
      <c r="S133" s="3164"/>
      <c r="T133" s="3165"/>
      <c r="V133" s="836"/>
      <c r="W133" s="3236"/>
      <c r="X133" s="3237"/>
      <c r="AZ133" s="1655" t="s">
        <v>4288</v>
      </c>
      <c r="BA133" s="1618">
        <v>133</v>
      </c>
    </row>
    <row r="134" spans="1:53" s="144" customFormat="1" ht="12.6" customHeight="1" thickBot="1">
      <c r="A134" s="303" t="str">
        <f>IF(AND(G134&gt;0,OR(C134="",C134="&lt;Enter detailed description here; use Comments section if needed&gt;")),"X","")</f>
        <v/>
      </c>
      <c r="B134" s="147" t="s">
        <v>4171</v>
      </c>
      <c r="C134" s="3326" t="s">
        <v>4613</v>
      </c>
      <c r="D134" s="3326"/>
      <c r="E134" s="3326"/>
      <c r="F134" s="3327"/>
      <c r="G134" s="3156"/>
      <c r="H134" s="3157"/>
      <c r="J134" s="3334"/>
      <c r="K134" s="3335"/>
      <c r="L134" s="815"/>
      <c r="M134" s="3156"/>
      <c r="N134" s="3157"/>
      <c r="P134" s="3156"/>
      <c r="Q134" s="3157"/>
      <c r="S134" s="3156"/>
      <c r="T134" s="3157"/>
      <c r="U134" s="302" t="str">
        <f>IF(AND(G134&gt;0,OR(C134="",C134="&lt;Enter detailed description here; use Comments section if needed&gt;")),"NO DESCRIPTION PROVIDED - please enter detailed description in Other box at left; use Comments section below if needed.","")</f>
        <v/>
      </c>
      <c r="V134" s="836"/>
      <c r="W134" s="3287"/>
      <c r="X134" s="3288"/>
      <c r="AZ134" s="1655"/>
      <c r="BA134" s="1618">
        <v>134</v>
      </c>
    </row>
    <row r="135" spans="1:53" s="144" customFormat="1" ht="12.6" customHeight="1" thickTop="1">
      <c r="B135" s="292"/>
      <c r="F135" s="281" t="s">
        <v>184</v>
      </c>
      <c r="G135" s="3324">
        <f>SUM(G129:G134)</f>
        <v>720160</v>
      </c>
      <c r="H135" s="3325"/>
      <c r="J135" s="3324">
        <f>SUM(J133:J134)</f>
        <v>150000</v>
      </c>
      <c r="K135" s="3325"/>
      <c r="L135" s="815"/>
      <c r="M135" s="3324">
        <f>SUM(M133:M134)</f>
        <v>0</v>
      </c>
      <c r="N135" s="3325"/>
      <c r="P135" s="3324">
        <f>SUM(P133:P134)</f>
        <v>0</v>
      </c>
      <c r="Q135" s="3325"/>
      <c r="S135" s="3324">
        <f>SUM(S129:S134)</f>
        <v>570160</v>
      </c>
      <c r="T135" s="3325"/>
      <c r="V135" s="838">
        <f>SUM(V129:V134)</f>
        <v>0</v>
      </c>
      <c r="W135" s="3308"/>
      <c r="X135" s="3309"/>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5" t="s">
        <v>259</v>
      </c>
      <c r="K139" s="3316"/>
      <c r="L139" s="280"/>
      <c r="M139" s="3328" t="s">
        <v>459</v>
      </c>
      <c r="N139" s="3329"/>
      <c r="P139" s="3315" t="s">
        <v>260</v>
      </c>
      <c r="Q139" s="3316"/>
      <c r="S139" s="3315" t="s">
        <v>261</v>
      </c>
      <c r="T139" s="3316"/>
      <c r="V139" s="343" t="str">
        <f>B139</f>
        <v>DEVELOPMENT BUDGET  (cont'd)</v>
      </c>
      <c r="AZ139" s="1655"/>
      <c r="BA139" s="1618">
        <v>139</v>
      </c>
    </row>
    <row r="140" spans="1:53" s="144" customFormat="1" ht="18" customHeight="1" thickBot="1">
      <c r="G140" s="3332" t="s">
        <v>95</v>
      </c>
      <c r="H140" s="3333"/>
      <c r="J140" s="3317"/>
      <c r="K140" s="3318"/>
      <c r="L140" s="280"/>
      <c r="M140" s="3330"/>
      <c r="N140" s="3331"/>
      <c r="P140" s="3317"/>
      <c r="Q140" s="3318"/>
      <c r="S140" s="3317"/>
      <c r="T140" s="3318"/>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4"/>
      <c r="H142" s="3185"/>
      <c r="J142" s="3184"/>
      <c r="K142" s="3185"/>
      <c r="L142" s="282"/>
      <c r="M142" s="3184"/>
      <c r="N142" s="3185"/>
      <c r="P142" s="3184"/>
      <c r="Q142" s="3185"/>
      <c r="S142" s="3184"/>
      <c r="T142" s="3185"/>
      <c r="V142" s="836"/>
      <c r="W142" s="3236"/>
      <c r="X142" s="3237"/>
      <c r="AZ142" s="1655"/>
      <c r="BA142" s="1618">
        <v>142</v>
      </c>
    </row>
    <row r="143" spans="1:53" s="144" customFormat="1" ht="12.6" customHeight="1" thickBot="1">
      <c r="A143" s="303" t="str">
        <f>IF(AND(G143&gt;0,OR(C143="",C143="&lt;Enter detailed description here; use Comments section if needed&gt;")),"X","")</f>
        <v/>
      </c>
      <c r="B143" s="147" t="s">
        <v>4171</v>
      </c>
      <c r="C143" s="3326" t="s">
        <v>4613</v>
      </c>
      <c r="D143" s="3326"/>
      <c r="E143" s="3326"/>
      <c r="F143" s="3327"/>
      <c r="G143" s="3156"/>
      <c r="H143" s="3157"/>
      <c r="J143" s="3156"/>
      <c r="K143" s="3157"/>
      <c r="L143" s="815"/>
      <c r="M143" s="3156"/>
      <c r="N143" s="3157"/>
      <c r="P143" s="3156"/>
      <c r="Q143" s="3157"/>
      <c r="S143" s="3156"/>
      <c r="T143" s="3157"/>
      <c r="U143" s="302" t="str">
        <f>IF(AND(G143&gt;0,OR(C143="",C143="&lt;Enter detailed description here; use Comments section if needed&gt;")),"NO DESCRIPTION PROVIDED - please enter detailed description in Other box at left; use Comments section below if needed.","")</f>
        <v/>
      </c>
      <c r="V143" s="836"/>
      <c r="W143" s="3287"/>
      <c r="X143" s="3288"/>
      <c r="AZ143" s="1655"/>
      <c r="BA143" s="1618">
        <v>143</v>
      </c>
    </row>
    <row r="144" spans="1:53" s="144" customFormat="1" ht="12.6" customHeight="1" thickTop="1">
      <c r="C144" s="246"/>
      <c r="F144" s="281" t="s">
        <v>184</v>
      </c>
      <c r="G144" s="3324">
        <f>SUM(G142:G143)</f>
        <v>0</v>
      </c>
      <c r="H144" s="3325"/>
      <c r="J144" s="3324">
        <f>SUM(J142:J143)</f>
        <v>0</v>
      </c>
      <c r="K144" s="3325"/>
      <c r="L144" s="815"/>
      <c r="M144" s="3324">
        <f>SUM(M142:M143)</f>
        <v>0</v>
      </c>
      <c r="N144" s="3325"/>
      <c r="P144" s="3324">
        <f>SUM(P142:P143)</f>
        <v>0</v>
      </c>
      <c r="Q144" s="3325"/>
      <c r="S144" s="3324">
        <f>SUM(S142:S143)</f>
        <v>0</v>
      </c>
      <c r="T144" s="3325"/>
      <c r="V144" s="838">
        <f>SUM(V142:V143)</f>
        <v>0</v>
      </c>
      <c r="W144" s="3308"/>
      <c r="X144" s="3309"/>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4386</v>
      </c>
      <c r="E146" s="646"/>
      <c r="F146" s="1248"/>
      <c r="G146" s="3321">
        <f>G18+G24+G28+G36+G41+G46+G55+G73+G86+G92+G103+G114+G120+G127+G135+G144</f>
        <v>24123885</v>
      </c>
      <c r="H146" s="3322"/>
      <c r="J146" s="3321">
        <f>J18+J24+J28+J36+J41+J46+J55+J73+J86+J92+J103+J114+J120+J127+J135+J144</f>
        <v>21797035</v>
      </c>
      <c r="K146" s="3322"/>
      <c r="M146" s="3321">
        <f>M18+M24+M28+M36+M41+M46+M55+M73+M86+M92+M103+M114+M120+M127+M135+M144</f>
        <v>0</v>
      </c>
      <c r="N146" s="3322"/>
      <c r="P146" s="3321">
        <f>P18+P24+P28+P36+P41+P46+P55+P73+P86+P92+P103+P114+P120+P127+P135+P144</f>
        <v>0</v>
      </c>
      <c r="Q146" s="3322"/>
      <c r="S146" s="3321">
        <f>S18+S24+S28+S36+S41+S46+S55+S73+S86+S92+S103+S114+S120+S127+S135+S144</f>
        <v>2326850</v>
      </c>
      <c r="T146" s="3322"/>
      <c r="V146" s="842">
        <f>V18+V24+V28+V36+V41+V46+V55+V73+V86+V92+V103+V114+V120+V127+V135+V144</f>
        <v>0</v>
      </c>
      <c r="W146" s="3323"/>
      <c r="X146" s="3309"/>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2">
        <f>IF('Part V-Revenues &amp; Expenses'!$P$67=0,0,G146/'Part V-Revenues &amp; Expenses'!$P$67)</f>
        <v>335053.95833333331</v>
      </c>
      <c r="E148" s="3312"/>
      <c r="F148" s="389" t="s">
        <v>2480</v>
      </c>
      <c r="G148" s="3313">
        <f>IF('Part V-Revenues &amp; Expenses'!$K$179=0,0,G146/'Part V-Revenues &amp; Expenses'!$K$179)</f>
        <v>316.16320673114728</v>
      </c>
      <c r="H148" s="3314"/>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5" t="s">
        <v>259</v>
      </c>
      <c r="K150" s="3316"/>
      <c r="M150" s="3315" t="s">
        <v>94</v>
      </c>
      <c r="N150" s="3316"/>
      <c r="P150" s="3315" t="s">
        <v>260</v>
      </c>
      <c r="Q150" s="3316"/>
      <c r="V150" s="839"/>
      <c r="W150" s="343" t="str">
        <f>B150</f>
        <v>TAX CREDIT CALCULATION - BASIS METHOD</v>
      </c>
      <c r="AZ150" s="1655"/>
      <c r="BA150" s="1618">
        <v>150</v>
      </c>
    </row>
    <row r="151" spans="1:53" s="144" customFormat="1" ht="15" customHeight="1" thickBot="1">
      <c r="B151" s="222" t="s">
        <v>1889</v>
      </c>
      <c r="D151" s="815"/>
      <c r="E151" s="815"/>
      <c r="I151" s="295"/>
      <c r="J151" s="3317"/>
      <c r="K151" s="3318"/>
      <c r="L151" s="374"/>
      <c r="M151" s="3317"/>
      <c r="N151" s="3318"/>
      <c r="P151" s="3317"/>
      <c r="Q151" s="3318"/>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9"/>
      <c r="K153" s="3320"/>
      <c r="P153" s="3319"/>
      <c r="Q153" s="3320"/>
      <c r="V153" s="836"/>
      <c r="W153" s="3236"/>
      <c r="X153" s="3237"/>
      <c r="AZ153" s="1655"/>
      <c r="BA153" s="1618">
        <v>153</v>
      </c>
    </row>
    <row r="154" spans="1:53" s="144" customFormat="1" ht="14.1" customHeight="1">
      <c r="B154" s="144" t="s">
        <v>1993</v>
      </c>
      <c r="I154" s="295"/>
      <c r="J154" s="3310"/>
      <c r="K154" s="3311"/>
      <c r="P154" s="3310"/>
      <c r="Q154" s="3311"/>
      <c r="V154" s="836"/>
      <c r="W154" s="3236"/>
      <c r="X154" s="3237"/>
      <c r="AZ154" s="1655"/>
      <c r="BA154" s="1618">
        <v>154</v>
      </c>
    </row>
    <row r="155" spans="1:53" s="144" customFormat="1" ht="14.1" customHeight="1">
      <c r="B155" s="144" t="s">
        <v>1722</v>
      </c>
      <c r="I155" s="295"/>
      <c r="J155" s="3310"/>
      <c r="K155" s="3311"/>
      <c r="P155" s="3310"/>
      <c r="Q155" s="3311"/>
      <c r="V155" s="836"/>
      <c r="W155" s="3236"/>
      <c r="X155" s="3237"/>
      <c r="AZ155" s="1655"/>
      <c r="BA155" s="1618">
        <v>155</v>
      </c>
    </row>
    <row r="156" spans="1:53" s="144" customFormat="1" ht="14.1" customHeight="1">
      <c r="B156" s="144" t="s">
        <v>1723</v>
      </c>
      <c r="I156" s="295"/>
      <c r="J156" s="3310"/>
      <c r="K156" s="3311"/>
      <c r="P156" s="3310"/>
      <c r="Q156" s="3311"/>
      <c r="V156" s="836"/>
      <c r="W156" s="3236"/>
      <c r="X156" s="3237"/>
      <c r="AZ156" s="1655"/>
      <c r="BA156" s="1618">
        <v>156</v>
      </c>
    </row>
    <row r="157" spans="1:53" s="144" customFormat="1" ht="14.1" customHeight="1">
      <c r="B157" s="144" t="s">
        <v>243</v>
      </c>
      <c r="I157" s="295"/>
      <c r="J157" s="3310"/>
      <c r="K157" s="3311"/>
      <c r="P157" s="3310"/>
      <c r="Q157" s="3311"/>
      <c r="V157" s="836"/>
      <c r="W157" s="3236"/>
      <c r="X157" s="3237"/>
      <c r="AZ157" s="1655"/>
      <c r="BA157" s="1618">
        <v>157</v>
      </c>
    </row>
    <row r="158" spans="1:53" s="144" customFormat="1" ht="14.1" customHeight="1" thickBot="1">
      <c r="B158" s="144" t="s">
        <v>1494</v>
      </c>
      <c r="C158" s="3304" t="s">
        <v>2218</v>
      </c>
      <c r="D158" s="3304"/>
      <c r="E158" s="3304"/>
      <c r="F158" s="3304"/>
      <c r="G158" s="3304"/>
      <c r="H158" s="3304"/>
      <c r="I158" s="3305"/>
      <c r="J158" s="3306"/>
      <c r="K158" s="3307"/>
      <c r="P158" s="3306"/>
      <c r="Q158" s="3307"/>
      <c r="V158" s="836"/>
      <c r="W158" s="3287"/>
      <c r="X158" s="3288"/>
      <c r="AZ158" s="1655"/>
      <c r="BA158" s="1618">
        <v>158</v>
      </c>
    </row>
    <row r="159" spans="1:53" s="144" customFormat="1" ht="14.1" customHeight="1" thickBot="1">
      <c r="B159" s="243" t="s">
        <v>1724</v>
      </c>
      <c r="C159" s="250"/>
      <c r="J159" s="3096">
        <f>SUM(J153:K158)</f>
        <v>0</v>
      </c>
      <c r="K159" s="3097"/>
      <c r="P159" s="3096">
        <f>SUM(P153:Q158)</f>
        <v>0</v>
      </c>
      <c r="Q159" s="3097"/>
      <c r="V159" s="838">
        <f>SUM(V153:V158)</f>
        <v>0</v>
      </c>
      <c r="W159" s="3308"/>
      <c r="X159" s="3309"/>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9">
        <f>J146</f>
        <v>21797035</v>
      </c>
      <c r="K162" s="3251"/>
      <c r="M162" s="3301">
        <f>M146</f>
        <v>0</v>
      </c>
      <c r="N162" s="3302"/>
      <c r="P162" s="3249">
        <f>P146</f>
        <v>0</v>
      </c>
      <c r="Q162" s="3251"/>
      <c r="R162" s="3303" t="s">
        <v>4749</v>
      </c>
      <c r="S162" s="3256"/>
      <c r="T162" s="3256"/>
      <c r="V162" s="836"/>
      <c r="W162" s="3236"/>
      <c r="X162" s="3237"/>
      <c r="AZ162" s="1655"/>
      <c r="BA162" s="1618">
        <v>162</v>
      </c>
    </row>
    <row r="163" spans="1:53" s="144" customFormat="1" ht="14.1" customHeight="1">
      <c r="B163" s="144" t="s">
        <v>2047</v>
      </c>
      <c r="J163" s="3265">
        <f>J159</f>
        <v>0</v>
      </c>
      <c r="K163" s="3267"/>
      <c r="M163" s="3247"/>
      <c r="N163" s="3247"/>
      <c r="P163" s="3265">
        <f>P159</f>
        <v>0</v>
      </c>
      <c r="Q163" s="3267"/>
      <c r="R163" s="3303"/>
      <c r="S163" s="3256"/>
      <c r="T163" s="3256"/>
      <c r="U163" s="1110"/>
      <c r="V163" s="836"/>
      <c r="W163" s="3236"/>
      <c r="X163" s="3237"/>
      <c r="AZ163" s="1655"/>
      <c r="BA163" s="1618">
        <v>163</v>
      </c>
    </row>
    <row r="164" spans="1:53" s="144" customFormat="1" ht="14.1" customHeight="1">
      <c r="B164" s="144" t="s">
        <v>2048</v>
      </c>
      <c r="J164" s="3265">
        <f>J162-J163</f>
        <v>21797035</v>
      </c>
      <c r="K164" s="3267"/>
      <c r="M164" s="3246">
        <f>M162</f>
        <v>0</v>
      </c>
      <c r="N164" s="3248"/>
      <c r="P164" s="3265">
        <f>P162-P163</f>
        <v>0</v>
      </c>
      <c r="Q164" s="3267"/>
      <c r="R164" s="3289" t="s">
        <v>4750</v>
      </c>
      <c r="S164" s="3290"/>
      <c r="T164" s="3291"/>
      <c r="U164" s="1110"/>
      <c r="V164" s="836"/>
      <c r="W164" s="3236"/>
      <c r="X164" s="3237"/>
      <c r="AZ164" s="1655"/>
      <c r="BA164" s="1618">
        <v>164</v>
      </c>
    </row>
    <row r="165" spans="1:53" s="144" customFormat="1" ht="14.1" customHeight="1">
      <c r="B165" s="144" t="s">
        <v>1388</v>
      </c>
      <c r="G165" s="248" t="s">
        <v>1591</v>
      </c>
      <c r="H165" s="3298" t="s">
        <v>5140</v>
      </c>
      <c r="I165" s="3299"/>
      <c r="J165" s="3278">
        <v>1.3</v>
      </c>
      <c r="K165" s="3279"/>
      <c r="M165" s="3300"/>
      <c r="N165" s="3300"/>
      <c r="P165" s="3278"/>
      <c r="Q165" s="3279"/>
      <c r="R165" s="3292"/>
      <c r="S165" s="3293"/>
      <c r="T165" s="3294"/>
      <c r="U165" s="1111"/>
      <c r="V165" s="836"/>
      <c r="W165" s="3236"/>
      <c r="X165" s="3237"/>
      <c r="AZ165" s="1655"/>
      <c r="BA165" s="1618">
        <v>165</v>
      </c>
    </row>
    <row r="166" spans="1:53" s="144" customFormat="1" ht="14.1" customHeight="1">
      <c r="B166" s="144" t="s">
        <v>1898</v>
      </c>
      <c r="J166" s="3265">
        <f>J164*J165</f>
        <v>28336145.5</v>
      </c>
      <c r="K166" s="3267"/>
      <c r="M166" s="3249">
        <f>+M164</f>
        <v>0</v>
      </c>
      <c r="N166" s="3251"/>
      <c r="P166" s="3265">
        <f>P164*P165</f>
        <v>0</v>
      </c>
      <c r="Q166" s="3267"/>
      <c r="R166" s="3295"/>
      <c r="S166" s="3296"/>
      <c r="T166" s="3297"/>
      <c r="U166" s="1111"/>
      <c r="V166" s="836"/>
      <c r="W166" s="3236"/>
      <c r="X166" s="3237"/>
      <c r="AZ166" s="1655"/>
      <c r="BA166" s="1618">
        <v>166</v>
      </c>
    </row>
    <row r="167" spans="1:53" s="144" customFormat="1" ht="14.1" customHeight="1">
      <c r="B167" s="144" t="s">
        <v>2333</v>
      </c>
      <c r="J167" s="3280">
        <f>MIN('Part V-Revenues &amp; Expenses'!$P$63/'Part V-Revenues &amp; Expenses'!$P$65,'Part V-Revenues &amp; Expenses'!$P$168/'Part V-Revenues &amp; Expenses'!$P$170)</f>
        <v>0.80555555555555558</v>
      </c>
      <c r="K167" s="3281"/>
      <c r="M167" s="3280">
        <f>MIN('Part V-Revenues &amp; Expenses'!$P$63/'Part V-Revenues &amp; Expenses'!$P$65,'Part V-Revenues &amp; Expenses'!$P$168/'Part V-Revenues &amp; Expenses'!$P$170)</f>
        <v>0.80555555555555558</v>
      </c>
      <c r="N167" s="3281"/>
      <c r="P167" s="3280">
        <f>MIN('Part V-Revenues &amp; Expenses'!$P$63/'Part V-Revenues &amp; Expenses'!$P$65,'Part V-Revenues &amp; Expenses'!$P$168/'Part V-Revenues &amp; Expenses'!$P$170)</f>
        <v>0.80555555555555558</v>
      </c>
      <c r="Q167" s="3281"/>
      <c r="R167" s="3282" t="s">
        <v>4751</v>
      </c>
      <c r="S167" s="3283"/>
      <c r="T167" s="3284"/>
      <c r="V167" s="836"/>
      <c r="W167" s="3236"/>
      <c r="X167" s="3237"/>
      <c r="AZ167" s="1655"/>
      <c r="BA167" s="1618">
        <v>167</v>
      </c>
    </row>
    <row r="168" spans="1:53" s="144" customFormat="1" ht="14.1" customHeight="1">
      <c r="B168" s="144" t="s">
        <v>1890</v>
      </c>
      <c r="J168" s="3265">
        <f>J166*J167</f>
        <v>22826339.430555556</v>
      </c>
      <c r="K168" s="3267"/>
      <c r="M168" s="3265">
        <f>M166*M167</f>
        <v>0</v>
      </c>
      <c r="N168" s="3267"/>
      <c r="P168" s="3265">
        <f>P166*P167</f>
        <v>0</v>
      </c>
      <c r="Q168" s="3267"/>
      <c r="V168" s="836"/>
      <c r="W168" s="3236"/>
      <c r="X168" s="3237"/>
      <c r="AZ168" s="1655"/>
      <c r="BA168" s="1618">
        <v>168</v>
      </c>
    </row>
    <row r="169" spans="1:53" s="144" customFormat="1" ht="14.1" customHeight="1">
      <c r="B169" s="144" t="s">
        <v>1891</v>
      </c>
      <c r="J169" s="3278">
        <v>0.09</v>
      </c>
      <c r="K169" s="3279"/>
      <c r="M169" s="3278"/>
      <c r="N169" s="3279"/>
      <c r="P169" s="3278"/>
      <c r="Q169" s="3279"/>
      <c r="V169" s="836"/>
      <c r="W169" s="3236"/>
      <c r="X169" s="3237"/>
      <c r="AZ169" s="1655"/>
      <c r="BA169" s="1618">
        <v>169</v>
      </c>
    </row>
    <row r="170" spans="1:53" s="144" customFormat="1" ht="14.1" customHeight="1" thickBot="1">
      <c r="B170" s="144" t="s">
        <v>2334</v>
      </c>
      <c r="J170" s="3285">
        <f>J168*J169</f>
        <v>2054370.5487500001</v>
      </c>
      <c r="K170" s="3286"/>
      <c r="M170" s="3285">
        <f>M168*M169</f>
        <v>0</v>
      </c>
      <c r="N170" s="3286"/>
      <c r="P170" s="3285">
        <f>P168*P169</f>
        <v>0</v>
      </c>
      <c r="Q170" s="3286"/>
      <c r="V170" s="843"/>
      <c r="W170" s="3287"/>
      <c r="X170" s="3288"/>
      <c r="AZ170" s="1655"/>
      <c r="BA170" s="1618">
        <v>170</v>
      </c>
    </row>
    <row r="171" spans="1:53" s="144" customFormat="1" ht="14.1" customHeight="1" thickBot="1">
      <c r="B171" s="243" t="s">
        <v>1337</v>
      </c>
      <c r="J171" s="3096">
        <f>ROUNDDOWN(J170+M170+P170,0)</f>
        <v>2054370</v>
      </c>
      <c r="K171" s="3242"/>
      <c r="L171" s="3242"/>
      <c r="M171" s="3242"/>
      <c r="N171" s="3242"/>
      <c r="O171" s="3242"/>
      <c r="P171" s="3242"/>
      <c r="Q171" s="3097"/>
      <c r="V171" s="838"/>
      <c r="W171" s="3276"/>
      <c r="X171" s="3277"/>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3808</v>
      </c>
      <c r="J176" s="3249">
        <f>G146</f>
        <v>24123885</v>
      </c>
      <c r="K176" s="3250"/>
      <c r="L176" s="3251"/>
      <c r="N176" s="3252" t="s">
        <v>4608</v>
      </c>
      <c r="O176" s="3253"/>
      <c r="P176" s="3253"/>
      <c r="Q176" s="3254"/>
      <c r="S176" s="3261" t="s">
        <v>3102</v>
      </c>
      <c r="T176" s="3262"/>
      <c r="V176" s="836"/>
      <c r="W176" s="3236"/>
      <c r="X176" s="3237"/>
      <c r="AZ176" s="1655"/>
      <c r="BA176" s="1618">
        <v>176</v>
      </c>
    </row>
    <row r="177" spans="1:53" s="144" customFormat="1" ht="14.1" customHeight="1">
      <c r="B177" s="144" t="s">
        <v>252</v>
      </c>
      <c r="J177" s="3265">
        <f ca="1">'Part II-Sources of Funds'!$I$60-'Part II-Sources of Funds'!$I$44-'Part II-Sources of Funds'!$I$45-'Part II-Sources of Funds'!$I$51-'Part II-Sources of Funds'!$I$52</f>
        <v>5481374.9999999991</v>
      </c>
      <c r="K177" s="3266"/>
      <c r="L177" s="3267"/>
      <c r="M177" s="1879"/>
      <c r="N177" s="3255"/>
      <c r="O177" s="3256"/>
      <c r="P177" s="3256"/>
      <c r="Q177" s="3257"/>
      <c r="S177" s="3263"/>
      <c r="T177" s="3264"/>
      <c r="V177" s="836"/>
      <c r="W177" s="3236"/>
      <c r="X177" s="3237"/>
      <c r="AZ177" s="1655"/>
      <c r="BA177" s="1618">
        <v>177</v>
      </c>
    </row>
    <row r="178" spans="1:53" s="144" customFormat="1" ht="14.1" customHeight="1">
      <c r="B178" s="144" t="s">
        <v>2059</v>
      </c>
      <c r="J178" s="3268">
        <f ca="1">+J176-J177</f>
        <v>18642510</v>
      </c>
      <c r="K178" s="3269"/>
      <c r="L178" s="3270"/>
      <c r="M178" s="1879"/>
      <c r="N178" s="3258"/>
      <c r="O178" s="3259"/>
      <c r="P178" s="3259"/>
      <c r="Q178" s="3260"/>
      <c r="S178" s="3263"/>
      <c r="T178" s="3264"/>
      <c r="V178" s="836"/>
      <c r="W178" s="3236"/>
      <c r="X178" s="3237"/>
      <c r="AZ178" s="1655"/>
      <c r="BA178" s="1618">
        <v>178</v>
      </c>
    </row>
    <row r="179" spans="1:53" s="144" customFormat="1" ht="14.1" customHeight="1" thickBot="1">
      <c r="B179" s="144" t="s">
        <v>1207</v>
      </c>
      <c r="J179" s="3141" t="str">
        <f>"/ 10"</f>
        <v>/ 10</v>
      </c>
      <c r="K179" s="3141"/>
      <c r="L179" s="3141"/>
      <c r="M179" s="223"/>
      <c r="N179" s="3243">
        <f>'Part II-Sources of Funds'!$I$44</f>
        <v>0</v>
      </c>
      <c r="O179" s="3244"/>
      <c r="P179" s="3244"/>
      <c r="Q179" s="3245"/>
      <c r="S179" s="328" t="s">
        <v>1546</v>
      </c>
      <c r="T179" s="329" t="s">
        <v>2644</v>
      </c>
      <c r="V179" s="836"/>
      <c r="W179" s="3236"/>
      <c r="X179" s="3237"/>
      <c r="AZ179" s="1655"/>
      <c r="BA179" s="1618">
        <v>179</v>
      </c>
    </row>
    <row r="180" spans="1:53" s="144" customFormat="1" ht="14.1" customHeight="1">
      <c r="B180" s="144" t="s">
        <v>1208</v>
      </c>
      <c r="J180" s="3246">
        <f ca="1">J178/10</f>
        <v>1864251</v>
      </c>
      <c r="K180" s="3247"/>
      <c r="L180" s="3248"/>
      <c r="N180" s="368"/>
      <c r="O180" s="368"/>
      <c r="P180" s="368"/>
      <c r="Q180" s="368"/>
      <c r="R180" s="368"/>
      <c r="V180" s="836"/>
      <c r="W180" s="3236"/>
      <c r="X180" s="3237"/>
      <c r="AZ180" s="1655"/>
      <c r="BA180" s="1618">
        <v>180</v>
      </c>
    </row>
    <row r="181" spans="1:53" s="144" customFormat="1" ht="14.1" customHeight="1">
      <c r="M181" s="145"/>
      <c r="N181" s="3154" t="s">
        <v>1209</v>
      </c>
      <c r="O181" s="3154"/>
      <c r="Q181" s="3154" t="s">
        <v>1666</v>
      </c>
      <c r="R181" s="3154"/>
      <c r="V181" s="836"/>
      <c r="W181" s="3236"/>
      <c r="X181" s="3237"/>
      <c r="Z181" s="1729" t="s">
        <v>1641</v>
      </c>
      <c r="AZ181" s="1655"/>
      <c r="BA181" s="1618">
        <v>181</v>
      </c>
    </row>
    <row r="182" spans="1:53" s="144" customFormat="1" ht="14.1" customHeight="1" thickBot="1">
      <c r="B182" s="144" t="s">
        <v>1387</v>
      </c>
      <c r="J182" s="3271">
        <f>N182+Q182</f>
        <v>1.4300000000000002</v>
      </c>
      <c r="K182" s="3272"/>
      <c r="L182" s="3273"/>
      <c r="M182" s="248" t="s">
        <v>1210</v>
      </c>
      <c r="N182" s="3274">
        <v>0.88</v>
      </c>
      <c r="O182" s="3275"/>
      <c r="P182" s="248" t="s">
        <v>569</v>
      </c>
      <c r="Q182" s="3274">
        <v>0.55000000000000004</v>
      </c>
      <c r="R182" s="3275"/>
      <c r="V182" s="836"/>
      <c r="W182" s="3236"/>
      <c r="X182" s="3237"/>
      <c r="Z182" s="1730">
        <f>'DCA Underwriting Assumptions'!Q134</f>
        <v>0</v>
      </c>
      <c r="AZ182" s="1655"/>
      <c r="BA182" s="1618">
        <v>182</v>
      </c>
    </row>
    <row r="183" spans="1:53" s="144" customFormat="1" ht="14.1" customHeight="1" thickBot="1">
      <c r="B183" s="243" t="s">
        <v>1338</v>
      </c>
      <c r="J183" s="3096">
        <f ca="1">ROUNDDOWN(IF(J182=0,"",J180/J182),0)</f>
        <v>1303672</v>
      </c>
      <c r="K183" s="3242"/>
      <c r="L183" s="3097"/>
      <c r="M183" s="145"/>
      <c r="V183" s="836"/>
      <c r="W183" s="3236"/>
      <c r="X183" s="3237"/>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3807</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4607</v>
      </c>
      <c r="J187" s="3231">
        <f ca="1">J183</f>
        <v>1303672</v>
      </c>
      <c r="K187" s="3232"/>
      <c r="L187" s="3233"/>
      <c r="Q187" s="147" t="s">
        <v>4143</v>
      </c>
      <c r="R187" s="147"/>
      <c r="S187" s="3234" t="str">
        <f>'Part VIII Scoring Criteria'!$J$12</f>
        <v>Atlanta Metro</v>
      </c>
      <c r="T187" s="3235"/>
      <c r="U187" s="1534" t="str">
        <f>IF(OR(S187="Atlanta Metro", "Other Metro"), "Metro", IF(S187="Rural","Rural",""))</f>
        <v>Metro</v>
      </c>
      <c r="V187" s="836"/>
      <c r="W187" s="3236"/>
      <c r="X187" s="3237"/>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3941</v>
      </c>
      <c r="J189" s="3231">
        <v>1300000</v>
      </c>
      <c r="K189" s="3232"/>
      <c r="L189" s="3233"/>
      <c r="M189" s="3238" t="str">
        <f ca="1">IF(J187=0,"",IF(J189&gt;J187,"Request can't exceed Maximum - REVISE (Try Round Down)!",""))</f>
        <v/>
      </c>
      <c r="N189" s="3238"/>
      <c r="O189" s="3238"/>
      <c r="P189" s="3238"/>
      <c r="Q189" s="241" t="s">
        <v>4437</v>
      </c>
      <c r="R189" s="147"/>
      <c r="S189" s="3234" t="str">
        <f>'Part VIII Scoring Criteria'!$F$12</f>
        <v>New Affordability</v>
      </c>
      <c r="T189" s="3235"/>
      <c r="V189" s="836"/>
      <c r="W189" s="3236"/>
      <c r="X189" s="3237"/>
      <c r="AZ189" s="1651"/>
      <c r="BA189" s="1618">
        <v>189</v>
      </c>
    </row>
    <row r="190" spans="1:53" s="144" customFormat="1" ht="3" customHeight="1">
      <c r="J190" s="298"/>
      <c r="K190" s="298"/>
      <c r="L190" s="298"/>
      <c r="M190" s="3238"/>
      <c r="N190" s="3238"/>
      <c r="O190" s="3238"/>
      <c r="P190" s="3238"/>
      <c r="Q190" s="147"/>
      <c r="R190" s="147"/>
      <c r="S190" s="241"/>
      <c r="T190" s="241"/>
      <c r="V190" s="839"/>
      <c r="W190" s="834"/>
      <c r="X190" s="835"/>
      <c r="AZ190" s="1651"/>
      <c r="BA190" s="1618">
        <v>190</v>
      </c>
    </row>
    <row r="191" spans="1:53" s="144" customFormat="1" ht="16.350000000000001" customHeight="1">
      <c r="A191" s="343"/>
      <c r="B191" s="343" t="s">
        <v>3942</v>
      </c>
      <c r="D191" s="145"/>
      <c r="E191" s="145"/>
      <c r="F191" s="246"/>
      <c r="J191" s="3239">
        <f ca="1">IF(J189="",0,+MIN(J187,J189))</f>
        <v>1300000</v>
      </c>
      <c r="K191" s="3240"/>
      <c r="L191" s="3241"/>
      <c r="M191" s="3238"/>
      <c r="N191" s="3238"/>
      <c r="O191" s="3238"/>
      <c r="P191" s="3238"/>
      <c r="Q191" s="236" t="s">
        <v>3799</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6"/>
      <c r="X191" s="3237"/>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4" t="s">
        <v>5208</v>
      </c>
      <c r="B195" s="3084"/>
      <c r="C195" s="3084"/>
      <c r="D195" s="3084"/>
      <c r="E195" s="3084"/>
      <c r="F195" s="3084"/>
      <c r="G195" s="3084"/>
      <c r="H195" s="3084"/>
      <c r="I195" s="3084"/>
      <c r="J195" s="3084"/>
      <c r="K195" s="3084"/>
      <c r="L195" s="3084"/>
      <c r="M195" s="3084"/>
      <c r="N195" s="3230"/>
      <c r="O195" s="3230"/>
      <c r="P195" s="3230"/>
      <c r="Q195" s="3230"/>
      <c r="R195" s="3230"/>
      <c r="S195" s="3230"/>
      <c r="T195" s="3230"/>
      <c r="V195" s="739"/>
      <c r="W195" s="3086" t="s">
        <v>2445</v>
      </c>
      <c r="X195" s="3086"/>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zoomScale="110" zoomScaleNormal="110" workbookViewId="0">
      <selection activeCell="J10" sqref="J10"/>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20" t="str">
        <f>CONCATENATE("PART THREE (B) -  OTHER COSTS","  -  ",'Part I-Project Identification'!$O$7," - ",'Part I-Project Identification'!$F$26,"  -  ",'Part I-Project Identification'!$F$27,"  -  ",'Part I-Project Identification'!$J$27,",  ","County")</f>
        <v>PART THREE (B) -  OTHER COSTS  -  2024-0 - Wesley Square  -  Norcross  -  Gwinnett,  County</v>
      </c>
      <c r="B1" s="3421"/>
      <c r="C1" s="3421"/>
      <c r="D1" s="3421"/>
      <c r="E1" s="3421"/>
      <c r="F1" s="3421"/>
      <c r="G1" s="3421"/>
      <c r="H1" s="3421"/>
      <c r="I1" s="709"/>
      <c r="J1" s="709"/>
      <c r="K1" s="709"/>
      <c r="L1" s="709"/>
      <c r="M1" s="709"/>
      <c r="N1" s="709"/>
      <c r="R1" s="2478">
        <v>1</v>
      </c>
    </row>
    <row r="2" spans="1:18" ht="9" customHeight="1">
      <c r="R2" s="2478">
        <v>2</v>
      </c>
    </row>
    <row r="3" spans="1:18" ht="57" customHeight="1">
      <c r="A3" s="3422" t="s">
        <v>3129</v>
      </c>
      <c r="B3" s="3423"/>
      <c r="C3" s="3423"/>
      <c r="D3" s="3423"/>
      <c r="E3" s="3423"/>
      <c r="F3" s="3423"/>
      <c r="G3" s="3423"/>
      <c r="H3" s="3424"/>
      <c r="R3" s="2478">
        <v>3</v>
      </c>
    </row>
    <row r="4" spans="1:18" ht="6" customHeight="1">
      <c r="R4" s="2478">
        <v>4</v>
      </c>
    </row>
    <row r="5" spans="1:18" ht="38.25" customHeight="1">
      <c r="A5" s="3425" t="s">
        <v>3191</v>
      </c>
      <c r="B5" s="3425"/>
      <c r="C5" s="3425"/>
      <c r="D5" s="3425"/>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7" t="str">
        <f>'Part III-A-Uses of Funds'!$C$15</f>
        <v>Asbestos Remediation</v>
      </c>
      <c r="B9" s="3418"/>
      <c r="C9" s="3418"/>
      <c r="D9" s="3419"/>
      <c r="F9" s="3414" t="s">
        <v>5141</v>
      </c>
      <c r="G9" s="713"/>
      <c r="H9" s="3414" t="s">
        <v>5142</v>
      </c>
      <c r="R9" s="2479">
        <v>9</v>
      </c>
    </row>
    <row r="10" spans="1:18" s="712" customFormat="1" ht="41.25" customHeight="1">
      <c r="A10" s="3408"/>
      <c r="B10" s="3409"/>
      <c r="C10" s="3409"/>
      <c r="D10" s="3410"/>
      <c r="F10" s="3415"/>
      <c r="G10" s="713"/>
      <c r="H10" s="3415"/>
      <c r="R10" s="2478">
        <v>10</v>
      </c>
    </row>
    <row r="11" spans="1:18" s="712" customFormat="1" ht="4.5" customHeight="1">
      <c r="F11" s="3415"/>
      <c r="G11" s="713"/>
      <c r="H11" s="3415"/>
      <c r="R11" s="2478">
        <v>11</v>
      </c>
    </row>
    <row r="12" spans="1:18" s="712" customFormat="1" ht="15" customHeight="1">
      <c r="A12" s="722" t="s">
        <v>3124</v>
      </c>
      <c r="B12" s="721">
        <f>'Part III-A-Uses of Funds'!$G$15</f>
        <v>5000</v>
      </c>
      <c r="C12" s="722" t="s">
        <v>1660</v>
      </c>
      <c r="D12" s="721">
        <f>'Part III-A-Uses of Funds'!$J$15+'Part III-A-Uses of Funds'!$M$15+'Part III-A-Uses of Funds'!$P$15</f>
        <v>0</v>
      </c>
      <c r="F12" s="3415"/>
      <c r="G12" s="713"/>
      <c r="H12" s="3415"/>
      <c r="R12" s="2478">
        <v>12</v>
      </c>
    </row>
    <row r="13" spans="1:18" s="712" customFormat="1" ht="6" customHeight="1">
      <c r="A13" s="713"/>
      <c r="B13" s="714"/>
      <c r="C13" s="713"/>
      <c r="D13" s="713"/>
      <c r="F13" s="3415"/>
      <c r="G13" s="715"/>
      <c r="H13" s="3415"/>
      <c r="R13" s="2478">
        <v>13</v>
      </c>
    </row>
    <row r="14" spans="1:18" s="712" customFormat="1" ht="41.25" customHeight="1">
      <c r="A14" s="3417" t="str">
        <f>'Part III-A-Uses of Funds'!$C$16</f>
        <v>&lt;&lt; Enter description here; provide detail &amp; justification in tab Part III-b &gt;&gt;</v>
      </c>
      <c r="B14" s="3418"/>
      <c r="C14" s="3418"/>
      <c r="D14" s="3419"/>
      <c r="F14" s="3415"/>
      <c r="G14" s="713"/>
      <c r="H14" s="3415"/>
      <c r="R14" s="2478">
        <v>14</v>
      </c>
    </row>
    <row r="15" spans="1:18" s="712" customFormat="1" ht="41.25" customHeight="1">
      <c r="A15" s="3408"/>
      <c r="B15" s="3409"/>
      <c r="C15" s="3409"/>
      <c r="D15" s="3410"/>
      <c r="F15" s="3415"/>
      <c r="G15" s="713"/>
      <c r="H15" s="3415"/>
      <c r="R15" s="2478">
        <v>15</v>
      </c>
    </row>
    <row r="16" spans="1:18" s="712" customFormat="1" ht="4.5" customHeight="1">
      <c r="F16" s="3415"/>
      <c r="G16" s="713"/>
      <c r="H16" s="3415"/>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5"/>
      <c r="G17" s="713"/>
      <c r="H17" s="3415"/>
      <c r="R17" s="2479">
        <v>17</v>
      </c>
    </row>
    <row r="18" spans="1:18" s="712" customFormat="1" ht="6" customHeight="1">
      <c r="A18" s="713"/>
      <c r="B18" s="714"/>
      <c r="C18" s="713"/>
      <c r="D18" s="713"/>
      <c r="F18" s="3415"/>
      <c r="G18" s="715"/>
      <c r="H18" s="3415"/>
      <c r="R18" s="2479">
        <v>18</v>
      </c>
    </row>
    <row r="19" spans="1:18" s="712" customFormat="1" ht="41.25" customHeight="1">
      <c r="A19" s="3417" t="str">
        <f>'Part III-A-Uses of Funds'!$C$17</f>
        <v>&lt;&lt; Enter description here; provide detail &amp; justification in tab Part III-b &gt;&gt;</v>
      </c>
      <c r="B19" s="3418"/>
      <c r="C19" s="3418"/>
      <c r="D19" s="3419"/>
      <c r="F19" s="3415"/>
      <c r="G19" s="713"/>
      <c r="H19" s="3415"/>
      <c r="R19" s="2478">
        <v>19</v>
      </c>
    </row>
    <row r="20" spans="1:18" s="712" customFormat="1" ht="41.25" customHeight="1">
      <c r="A20" s="3408"/>
      <c r="B20" s="3409"/>
      <c r="C20" s="3409"/>
      <c r="D20" s="3410"/>
      <c r="F20" s="3415"/>
      <c r="G20" s="713"/>
      <c r="H20" s="3415"/>
      <c r="R20" s="2478">
        <v>20</v>
      </c>
    </row>
    <row r="21" spans="1:18" s="712" customFormat="1" ht="4.5" customHeight="1">
      <c r="F21" s="3415"/>
      <c r="G21" s="713"/>
      <c r="H21" s="3415"/>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5"/>
      <c r="G22" s="713"/>
      <c r="H22" s="3415"/>
      <c r="R22" s="2478">
        <v>22</v>
      </c>
    </row>
    <row r="23" spans="1:18" s="712" customFormat="1" ht="6" customHeight="1">
      <c r="A23" s="713"/>
      <c r="B23" s="714"/>
      <c r="C23" s="713"/>
      <c r="D23" s="713"/>
      <c r="F23" s="3416"/>
      <c r="G23" s="715"/>
      <c r="H23" s="3416"/>
      <c r="R23" s="2478">
        <v>23</v>
      </c>
    </row>
    <row r="24" spans="1:18" s="712" customFormat="1" ht="15.75">
      <c r="A24" s="723" t="s">
        <v>3123</v>
      </c>
      <c r="B24" s="713"/>
      <c r="C24" s="713"/>
      <c r="D24" s="713"/>
      <c r="E24" s="713"/>
      <c r="F24" s="713"/>
      <c r="G24" s="713"/>
      <c r="R24" s="2478">
        <v>24</v>
      </c>
    </row>
    <row r="25" spans="1:18" s="712" customFormat="1" ht="41.25" customHeight="1">
      <c r="A25" s="3417" t="str">
        <f>'Part III-A-Uses of Funds'!$C$46</f>
        <v>&lt;&lt; Enter description here; provide detail &amp; justification in tab Part III-b &gt;&gt;</v>
      </c>
      <c r="B25" s="3418"/>
      <c r="C25" s="3418"/>
      <c r="D25" s="3419"/>
      <c r="E25" s="713"/>
      <c r="F25" s="3411"/>
      <c r="G25" s="713"/>
      <c r="H25" s="3411"/>
      <c r="R25" s="2479">
        <v>25</v>
      </c>
    </row>
    <row r="26" spans="1:18" s="712" customFormat="1" ht="41.25" customHeight="1">
      <c r="A26" s="3408"/>
      <c r="B26" s="3409"/>
      <c r="C26" s="3409"/>
      <c r="D26" s="3410"/>
      <c r="E26" s="713"/>
      <c r="F26" s="3412"/>
      <c r="G26" s="713"/>
      <c r="H26" s="3412"/>
      <c r="R26" s="2479">
        <v>26</v>
      </c>
    </row>
    <row r="27" spans="1:18" s="712" customFormat="1" ht="4.5" customHeight="1">
      <c r="A27" s="713"/>
      <c r="B27" s="713"/>
      <c r="C27" s="713"/>
      <c r="D27" s="713"/>
      <c r="E27" s="713"/>
      <c r="F27" s="3412"/>
      <c r="G27" s="713"/>
      <c r="H27" s="3412"/>
      <c r="R27" s="2479">
        <v>27</v>
      </c>
    </row>
    <row r="28" spans="1:18" s="712" customFormat="1" ht="25.5">
      <c r="A28" s="722" t="s">
        <v>3124</v>
      </c>
      <c r="B28" s="721">
        <f>'Part III-A-Uses of Funds'!$G$46</f>
        <v>0</v>
      </c>
      <c r="C28" s="722" t="s">
        <v>1660</v>
      </c>
      <c r="D28" s="721">
        <f>'Part III-A-Uses of Funds'!$J$46+'Part III-A-Uses of Funds'!$M$46+'Part III-A-Uses of Funds'!$P$46</f>
        <v>0</v>
      </c>
      <c r="E28" s="713"/>
      <c r="F28" s="3412"/>
      <c r="G28" s="713"/>
      <c r="H28" s="3412"/>
      <c r="R28" s="2478">
        <v>28</v>
      </c>
    </row>
    <row r="29" spans="1:18" s="712" customFormat="1" ht="6" customHeight="1">
      <c r="A29" s="713"/>
      <c r="B29" s="714"/>
      <c r="C29" s="713"/>
      <c r="D29" s="713"/>
      <c r="E29" s="713"/>
      <c r="F29" s="3413"/>
      <c r="G29" s="715"/>
      <c r="H29" s="3413"/>
      <c r="R29" s="2478">
        <v>29</v>
      </c>
    </row>
    <row r="30" spans="1:18" s="712" customFormat="1" ht="15.75">
      <c r="A30" s="723" t="s">
        <v>674</v>
      </c>
      <c r="B30" s="713"/>
      <c r="C30" s="713"/>
      <c r="D30" s="713"/>
      <c r="E30" s="713"/>
      <c r="F30" s="713"/>
      <c r="G30" s="713"/>
      <c r="R30" s="2478">
        <v>30</v>
      </c>
    </row>
    <row r="31" spans="1:18" s="712" customFormat="1" ht="41.25" customHeight="1">
      <c r="A31" s="3405" t="str">
        <f>'Part III-A-Uses of Funds'!$C$71</f>
        <v>&lt;&lt; Enter description here; provide detail &amp; justification in tab Part III-b &gt;&gt;</v>
      </c>
      <c r="B31" s="3406"/>
      <c r="C31" s="3406"/>
      <c r="D31" s="3407"/>
      <c r="E31" s="713"/>
      <c r="F31" s="3414"/>
      <c r="G31" s="713"/>
      <c r="H31" s="3414"/>
      <c r="R31" s="2478">
        <v>31</v>
      </c>
    </row>
    <row r="32" spans="1:18" s="712" customFormat="1" ht="41.25" customHeight="1">
      <c r="A32" s="3408"/>
      <c r="B32" s="3409"/>
      <c r="C32" s="3409"/>
      <c r="D32" s="3410"/>
      <c r="E32" s="713"/>
      <c r="F32" s="3415"/>
      <c r="G32" s="713"/>
      <c r="H32" s="3415"/>
      <c r="R32" s="2478">
        <v>32</v>
      </c>
    </row>
    <row r="33" spans="1:18" s="712" customFormat="1" ht="4.5" customHeight="1">
      <c r="A33" s="713"/>
      <c r="B33" s="713"/>
      <c r="C33" s="713"/>
      <c r="D33" s="713"/>
      <c r="E33" s="713"/>
      <c r="F33" s="3415"/>
      <c r="G33" s="713"/>
      <c r="H33" s="3415"/>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5"/>
      <c r="G34" s="713"/>
      <c r="H34" s="3415"/>
      <c r="R34" s="2479">
        <v>34</v>
      </c>
    </row>
    <row r="35" spans="1:18" s="712" customFormat="1" ht="6" customHeight="1">
      <c r="D35" s="713"/>
      <c r="E35" s="713"/>
      <c r="F35" s="3415"/>
      <c r="G35" s="715"/>
      <c r="H35" s="3415"/>
      <c r="R35" s="2479">
        <v>35</v>
      </c>
    </row>
    <row r="36" spans="1:18" s="712" customFormat="1" ht="41.25" customHeight="1">
      <c r="A36" s="3405" t="str">
        <f>'Part III-A-Uses of Funds'!$C$72</f>
        <v>&lt;&lt; Enter description here; provide detail &amp; justification in tab Part III-b &gt;&gt;</v>
      </c>
      <c r="B36" s="3406"/>
      <c r="C36" s="3406"/>
      <c r="D36" s="3407"/>
      <c r="E36" s="713"/>
      <c r="F36" s="3415"/>
      <c r="G36" s="713"/>
      <c r="H36" s="3415"/>
      <c r="R36" s="2479">
        <v>36</v>
      </c>
    </row>
    <row r="37" spans="1:18" s="712" customFormat="1" ht="41.25" customHeight="1">
      <c r="A37" s="3408"/>
      <c r="B37" s="3409"/>
      <c r="C37" s="3409"/>
      <c r="D37" s="3410"/>
      <c r="E37" s="713"/>
      <c r="F37" s="3415"/>
      <c r="G37" s="713"/>
      <c r="H37" s="3415"/>
      <c r="R37" s="2478">
        <v>37</v>
      </c>
    </row>
    <row r="38" spans="1:18" s="712" customFormat="1" ht="4.5" customHeight="1">
      <c r="A38" s="713"/>
      <c r="B38" s="713"/>
      <c r="C38" s="713"/>
      <c r="D38" s="713"/>
      <c r="E38" s="713"/>
      <c r="F38" s="3415"/>
      <c r="G38" s="713"/>
      <c r="H38" s="3415"/>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5"/>
      <c r="G39" s="713"/>
      <c r="H39" s="3415"/>
      <c r="R39" s="2478">
        <v>39</v>
      </c>
    </row>
    <row r="40" spans="1:18" s="712" customFormat="1" ht="6" customHeight="1">
      <c r="D40" s="713"/>
      <c r="E40" s="713"/>
      <c r="F40" s="3416"/>
      <c r="G40" s="715"/>
      <c r="H40" s="3416"/>
      <c r="R40" s="2478">
        <v>40</v>
      </c>
    </row>
    <row r="41" spans="1:18" s="712" customFormat="1" ht="15.75">
      <c r="A41" s="723" t="s">
        <v>448</v>
      </c>
      <c r="B41" s="713"/>
      <c r="C41" s="713"/>
      <c r="D41" s="713"/>
      <c r="E41" s="717"/>
      <c r="F41" s="717"/>
      <c r="G41" s="713"/>
      <c r="R41" s="2478">
        <v>41</v>
      </c>
    </row>
    <row r="42" spans="1:18" s="712" customFormat="1" ht="41.25" customHeight="1">
      <c r="A42" s="3405" t="str">
        <f>'Part III-A-Uses of Funds'!$C$85</f>
        <v>&lt;&lt; Enter description here; provide detail &amp; justification in tab Part III-b &gt;&gt;</v>
      </c>
      <c r="B42" s="3406"/>
      <c r="C42" s="3406"/>
      <c r="D42" s="3407"/>
      <c r="F42" s="3411"/>
      <c r="G42" s="713"/>
      <c r="H42" s="3411"/>
      <c r="R42" s="2478">
        <v>42</v>
      </c>
    </row>
    <row r="43" spans="1:18" s="712" customFormat="1" ht="41.25" customHeight="1">
      <c r="A43" s="3408"/>
      <c r="B43" s="3409"/>
      <c r="C43" s="3409"/>
      <c r="D43" s="3410"/>
      <c r="E43" s="713"/>
      <c r="F43" s="3412"/>
      <c r="G43" s="713"/>
      <c r="H43" s="3412"/>
      <c r="R43" s="2479">
        <v>43</v>
      </c>
    </row>
    <row r="44" spans="1:18" s="712" customFormat="1" ht="4.5" customHeight="1">
      <c r="A44" s="713"/>
      <c r="B44" s="713"/>
      <c r="C44" s="713"/>
      <c r="D44" s="713"/>
      <c r="E44" s="713"/>
      <c r="F44" s="3412"/>
      <c r="G44" s="713"/>
      <c r="H44" s="3412"/>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2"/>
      <c r="G45" s="713"/>
      <c r="H45" s="3412"/>
      <c r="R45" s="2479">
        <v>45</v>
      </c>
    </row>
    <row r="46" spans="1:18" s="712" customFormat="1" ht="6" customHeight="1">
      <c r="A46" s="713"/>
      <c r="B46" s="714"/>
      <c r="C46" s="713"/>
      <c r="D46" s="713"/>
      <c r="E46" s="713"/>
      <c r="F46" s="3413"/>
      <c r="G46" s="715"/>
      <c r="H46" s="3413"/>
      <c r="R46" s="2478">
        <v>46</v>
      </c>
    </row>
    <row r="47" spans="1:18" s="712" customFormat="1" ht="15.75">
      <c r="A47" s="723" t="s">
        <v>676</v>
      </c>
      <c r="B47" s="713"/>
      <c r="C47" s="713"/>
      <c r="D47" s="713"/>
      <c r="E47" s="713"/>
      <c r="F47" s="713"/>
      <c r="G47" s="713"/>
      <c r="R47" s="2478">
        <v>47</v>
      </c>
    </row>
    <row r="48" spans="1:18" s="712" customFormat="1" ht="41.25" customHeight="1">
      <c r="A48" s="3405" t="str">
        <f>'Part III-A-Uses of Funds'!$C$102</f>
        <v>&lt;&lt; Enter description here; provide detail &amp; justification in tab Part III-b &gt;&gt;</v>
      </c>
      <c r="B48" s="3406"/>
      <c r="C48" s="3406"/>
      <c r="D48" s="3407"/>
      <c r="F48" s="3411"/>
      <c r="G48" s="713"/>
      <c r="R48" s="2478">
        <v>48</v>
      </c>
    </row>
    <row r="49" spans="1:18" s="712" customFormat="1" ht="41.25" customHeight="1">
      <c r="A49" s="3408"/>
      <c r="B49" s="3409"/>
      <c r="C49" s="3409"/>
      <c r="D49" s="3410"/>
      <c r="E49" s="713"/>
      <c r="F49" s="3412"/>
      <c r="G49" s="713"/>
      <c r="R49" s="2478">
        <v>49</v>
      </c>
    </row>
    <row r="50" spans="1:18" s="712" customFormat="1" ht="3" customHeight="1">
      <c r="A50" s="713"/>
      <c r="B50" s="713"/>
      <c r="C50" s="713"/>
      <c r="D50" s="713"/>
      <c r="E50" s="713"/>
      <c r="F50" s="3412"/>
      <c r="G50" s="713"/>
      <c r="R50" s="2478">
        <v>50</v>
      </c>
    </row>
    <row r="51" spans="1:18" s="712" customFormat="1" ht="13.5" customHeight="1">
      <c r="A51" s="722" t="s">
        <v>3124</v>
      </c>
      <c r="B51" s="721">
        <f>'Part III-A-Uses of Funds'!$G$102</f>
        <v>0</v>
      </c>
      <c r="C51" s="716"/>
      <c r="D51" s="716"/>
      <c r="E51" s="713"/>
      <c r="F51" s="3412"/>
      <c r="G51" s="713"/>
      <c r="R51" s="2478">
        <v>51</v>
      </c>
    </row>
    <row r="52" spans="1:18" s="712" customFormat="1" ht="3.75" customHeight="1">
      <c r="A52" s="713"/>
      <c r="B52" s="713"/>
      <c r="C52" s="713"/>
      <c r="D52" s="713"/>
      <c r="E52" s="713"/>
      <c r="F52" s="3413"/>
      <c r="G52" s="715"/>
      <c r="R52" s="2479">
        <v>52</v>
      </c>
    </row>
    <row r="53" spans="1:18" s="712" customFormat="1" ht="15.75">
      <c r="A53" s="723" t="s">
        <v>3125</v>
      </c>
      <c r="B53" s="713"/>
      <c r="C53" s="713"/>
      <c r="D53" s="713"/>
      <c r="E53" s="713"/>
      <c r="F53" s="713"/>
      <c r="G53" s="713"/>
      <c r="R53" s="2479">
        <v>53</v>
      </c>
    </row>
    <row r="54" spans="1:18" s="712" customFormat="1" ht="41.25" customHeight="1">
      <c r="A54" s="3405" t="str">
        <f>'Part III-A-Uses of Funds'!$C$112</f>
        <v>&lt;&lt; Enter description here; provide detail &amp; justification in tab Part III-b &gt;&gt;</v>
      </c>
      <c r="B54" s="3406"/>
      <c r="C54" s="3406"/>
      <c r="D54" s="3407"/>
      <c r="F54" s="3414"/>
      <c r="G54" s="713"/>
      <c r="R54" s="2479">
        <v>54</v>
      </c>
    </row>
    <row r="55" spans="1:18" s="712" customFormat="1" ht="41.25" customHeight="1">
      <c r="A55" s="3408"/>
      <c r="B55" s="3409"/>
      <c r="C55" s="3409"/>
      <c r="D55" s="3410"/>
      <c r="E55" s="713"/>
      <c r="F55" s="3415"/>
      <c r="G55" s="713"/>
      <c r="R55" s="2478">
        <v>55</v>
      </c>
    </row>
    <row r="56" spans="1:18" s="712" customFormat="1" ht="3" customHeight="1">
      <c r="A56" s="713"/>
      <c r="B56" s="713"/>
      <c r="C56" s="713"/>
      <c r="D56" s="713"/>
      <c r="E56" s="713"/>
      <c r="F56" s="3415"/>
      <c r="G56" s="713"/>
      <c r="R56" s="2478">
        <v>56</v>
      </c>
    </row>
    <row r="57" spans="1:18" s="712" customFormat="1" ht="25.5">
      <c r="A57" s="722" t="s">
        <v>3124</v>
      </c>
      <c r="B57" s="721">
        <f>'Part III-A-Uses of Funds'!$G$112</f>
        <v>0</v>
      </c>
      <c r="C57" s="716"/>
      <c r="D57" s="716"/>
      <c r="E57" s="713"/>
      <c r="F57" s="3415"/>
      <c r="G57" s="713"/>
      <c r="R57" s="2478">
        <v>57</v>
      </c>
    </row>
    <row r="58" spans="1:18" s="712" customFormat="1" ht="3.75" customHeight="1">
      <c r="A58" s="711"/>
      <c r="B58" s="711"/>
      <c r="C58" s="711"/>
      <c r="D58" s="711"/>
      <c r="E58" s="711"/>
      <c r="F58" s="3415"/>
      <c r="G58" s="715"/>
      <c r="R58" s="2478">
        <v>58</v>
      </c>
    </row>
    <row r="59" spans="1:18" s="712" customFormat="1" ht="41.25" customHeight="1">
      <c r="A59" s="3405" t="str">
        <f>'Part III-A-Uses of Funds'!$C$113</f>
        <v>&lt;&lt; Enter description here; provide detail &amp; justification in tab Part III-b &gt;&gt;</v>
      </c>
      <c r="B59" s="3406"/>
      <c r="C59" s="3406"/>
      <c r="D59" s="3407"/>
      <c r="F59" s="3415"/>
      <c r="G59" s="713"/>
      <c r="R59" s="2478">
        <v>59</v>
      </c>
    </row>
    <row r="60" spans="1:18" s="712" customFormat="1" ht="41.25" customHeight="1">
      <c r="A60" s="3408"/>
      <c r="B60" s="3409"/>
      <c r="C60" s="3409"/>
      <c r="D60" s="3410"/>
      <c r="E60" s="713"/>
      <c r="F60" s="3415"/>
      <c r="G60" s="713"/>
      <c r="R60" s="2478">
        <v>60</v>
      </c>
    </row>
    <row r="61" spans="1:18" s="712" customFormat="1" ht="3" customHeight="1">
      <c r="A61" s="713"/>
      <c r="B61" s="713"/>
      <c r="C61" s="713"/>
      <c r="D61" s="713"/>
      <c r="E61" s="713"/>
      <c r="F61" s="3415"/>
      <c r="G61" s="713"/>
      <c r="R61" s="2479">
        <v>61</v>
      </c>
    </row>
    <row r="62" spans="1:18" s="712" customFormat="1" ht="25.5">
      <c r="A62" s="722" t="s">
        <v>3124</v>
      </c>
      <c r="B62" s="721">
        <f>'Part III-A-Uses of Funds'!$G$113</f>
        <v>0</v>
      </c>
      <c r="C62" s="716"/>
      <c r="D62" s="716"/>
      <c r="E62" s="713"/>
      <c r="F62" s="3415"/>
      <c r="G62" s="713"/>
      <c r="R62" s="2479">
        <v>62</v>
      </c>
    </row>
    <row r="63" spans="1:18" s="712" customFormat="1" ht="3.75" customHeight="1">
      <c r="A63" s="711"/>
      <c r="B63" s="711"/>
      <c r="C63" s="711"/>
      <c r="D63" s="711"/>
      <c r="E63" s="711"/>
      <c r="F63" s="3416"/>
      <c r="G63" s="715"/>
      <c r="R63" s="2479">
        <v>63</v>
      </c>
    </row>
    <row r="64" spans="1:18" s="712" customFormat="1" ht="15.75">
      <c r="A64" s="723" t="s">
        <v>3126</v>
      </c>
      <c r="B64" s="713"/>
      <c r="C64" s="713"/>
      <c r="D64" s="713"/>
      <c r="E64" s="713"/>
      <c r="F64" s="713"/>
      <c r="G64" s="713"/>
      <c r="R64" s="2478">
        <v>64</v>
      </c>
    </row>
    <row r="65" spans="1:18" s="712" customFormat="1" ht="41.25" customHeight="1">
      <c r="A65" s="3405" t="str">
        <f>'Part III-A-Uses of Funds'!$C$119</f>
        <v>&lt;&lt; Enter description here; provide detail &amp; justification in tab Part III-b &gt;&gt;</v>
      </c>
      <c r="B65" s="3406"/>
      <c r="C65" s="3406"/>
      <c r="D65" s="3407"/>
      <c r="F65" s="3411"/>
      <c r="G65" s="713"/>
      <c r="R65" s="2478">
        <v>65</v>
      </c>
    </row>
    <row r="66" spans="1:18" s="712" customFormat="1" ht="41.25" customHeight="1">
      <c r="A66" s="3408"/>
      <c r="B66" s="3409"/>
      <c r="C66" s="3409"/>
      <c r="D66" s="3410"/>
      <c r="E66" s="713"/>
      <c r="F66" s="3412"/>
      <c r="G66" s="713"/>
      <c r="R66" s="2478">
        <v>66</v>
      </c>
    </row>
    <row r="67" spans="1:18" s="712" customFormat="1" ht="3" customHeight="1">
      <c r="A67" s="713"/>
      <c r="B67" s="713"/>
      <c r="C67" s="713"/>
      <c r="D67" s="713"/>
      <c r="E67" s="713"/>
      <c r="F67" s="3412"/>
      <c r="G67" s="713"/>
      <c r="R67" s="2478">
        <v>67</v>
      </c>
    </row>
    <row r="68" spans="1:18" s="712" customFormat="1" ht="25.5">
      <c r="A68" s="722" t="s">
        <v>3124</v>
      </c>
      <c r="B68" s="721">
        <f>'Part III-A-Uses of Funds'!$G$119</f>
        <v>0</v>
      </c>
      <c r="C68" s="716"/>
      <c r="D68" s="716"/>
      <c r="E68" s="713"/>
      <c r="F68" s="3412"/>
      <c r="G68" s="713"/>
      <c r="R68" s="2478">
        <v>68</v>
      </c>
    </row>
    <row r="69" spans="1:18" s="712" customFormat="1" ht="3.75" customHeight="1">
      <c r="A69" s="713"/>
      <c r="B69" s="714"/>
      <c r="C69" s="713"/>
      <c r="D69" s="713"/>
      <c r="E69" s="713"/>
      <c r="F69" s="3413"/>
      <c r="G69" s="715"/>
      <c r="R69" s="2478">
        <v>69</v>
      </c>
    </row>
    <row r="70" spans="1:18" s="712" customFormat="1" ht="15.75">
      <c r="A70" s="723" t="s">
        <v>1229</v>
      </c>
      <c r="B70" s="713"/>
      <c r="C70" s="713"/>
      <c r="D70" s="713"/>
      <c r="E70" s="713"/>
      <c r="F70" s="713"/>
      <c r="G70" s="713"/>
      <c r="R70" s="2479">
        <v>70</v>
      </c>
    </row>
    <row r="71" spans="1:18" s="712" customFormat="1" ht="41.25" customHeight="1">
      <c r="A71" s="3405" t="str">
        <f>'Part III-A-Uses of Funds'!$C$134</f>
        <v>&lt;&lt; Enter description here; provide detail &amp; justification in tab Part III-b &gt;&gt;</v>
      </c>
      <c r="B71" s="3406"/>
      <c r="C71" s="3406"/>
      <c r="D71" s="3407"/>
      <c r="F71" s="3411"/>
      <c r="G71" s="713"/>
      <c r="H71" s="3411"/>
      <c r="R71" s="2479">
        <v>71</v>
      </c>
    </row>
    <row r="72" spans="1:18" s="712" customFormat="1" ht="41.25" customHeight="1">
      <c r="A72" s="3408"/>
      <c r="B72" s="3409"/>
      <c r="C72" s="3409"/>
      <c r="D72" s="3410"/>
      <c r="E72" s="713"/>
      <c r="F72" s="3412"/>
      <c r="G72" s="713"/>
      <c r="H72" s="3412"/>
      <c r="R72" s="2479">
        <v>72</v>
      </c>
    </row>
    <row r="73" spans="1:18" s="712" customFormat="1" ht="4.5" customHeight="1">
      <c r="A73" s="713"/>
      <c r="B73" s="713"/>
      <c r="C73" s="713"/>
      <c r="D73" s="713"/>
      <c r="E73" s="713"/>
      <c r="F73" s="3412"/>
      <c r="G73" s="713"/>
      <c r="H73" s="3412"/>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2"/>
      <c r="G74" s="713"/>
      <c r="H74" s="3412"/>
      <c r="R74" s="2478">
        <v>74</v>
      </c>
    </row>
    <row r="75" spans="1:18" s="712" customFormat="1" ht="6" customHeight="1">
      <c r="A75" s="713"/>
      <c r="B75" s="714"/>
      <c r="C75" s="713"/>
      <c r="D75" s="713"/>
      <c r="E75" s="713"/>
      <c r="F75" s="3413"/>
      <c r="G75" s="715"/>
      <c r="H75" s="3413"/>
      <c r="R75" s="2478">
        <v>75</v>
      </c>
    </row>
    <row r="76" spans="1:18" s="712" customFormat="1" ht="15.75">
      <c r="A76" s="723" t="s">
        <v>3127</v>
      </c>
      <c r="B76" s="714"/>
      <c r="C76" s="713"/>
      <c r="D76" s="713"/>
      <c r="E76" s="713"/>
      <c r="F76" s="713"/>
      <c r="G76" s="715"/>
      <c r="R76" s="2478">
        <v>76</v>
      </c>
    </row>
    <row r="77" spans="1:18" s="712" customFormat="1" ht="41.25" customHeight="1">
      <c r="A77" s="3405" t="str">
        <f>'Part III-A-Uses of Funds'!$C$143</f>
        <v>&lt;&lt; Enter description here; provide detail &amp; justification in tab Part III-b &gt;&gt;</v>
      </c>
      <c r="B77" s="3406"/>
      <c r="C77" s="3406"/>
      <c r="D77" s="3407"/>
      <c r="F77" s="3411"/>
      <c r="G77" s="713"/>
      <c r="H77" s="3411"/>
      <c r="R77" s="2478">
        <v>77</v>
      </c>
    </row>
    <row r="78" spans="1:18" s="712" customFormat="1" ht="41.25" customHeight="1">
      <c r="A78" s="3408"/>
      <c r="B78" s="3409"/>
      <c r="C78" s="3409"/>
      <c r="D78" s="3410"/>
      <c r="E78" s="713"/>
      <c r="F78" s="3412"/>
      <c r="G78" s="713"/>
      <c r="H78" s="3412"/>
      <c r="R78" s="2478">
        <v>78</v>
      </c>
    </row>
    <row r="79" spans="1:18" s="712" customFormat="1" ht="4.5" customHeight="1">
      <c r="A79" s="713"/>
      <c r="B79" s="713"/>
      <c r="C79" s="713"/>
      <c r="D79" s="713"/>
      <c r="E79" s="713"/>
      <c r="F79" s="3412"/>
      <c r="G79" s="713"/>
      <c r="H79" s="3412"/>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2"/>
      <c r="G80" s="713"/>
      <c r="H80" s="3412"/>
      <c r="R80" s="2479">
        <v>80</v>
      </c>
    </row>
    <row r="81" spans="4:18" s="712" customFormat="1" ht="6" customHeight="1">
      <c r="D81" s="719"/>
      <c r="E81" s="720"/>
      <c r="F81" s="3413"/>
      <c r="G81" s="715"/>
      <c r="H81" s="3413"/>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zoomScale="130" zoomScaleNormal="130" workbookViewId="0">
      <selection activeCell="I41" sqref="I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8" t="str">
        <f>CONCATENATE("PART FOUR - UTILITY ALLOWANCES","  -  ",'Part I-Project Identification'!$O$7," ",'Part I-Project Identification'!$F$26,", ",'Part I-Project Identification'!F27,", ",'Part I-Project Identification'!J27," County")</f>
        <v>PART FOUR - UTILITY ALLOWANCES  -  2024-0 Wesley Square, Norcross, Gwinnett County</v>
      </c>
      <c r="B1" s="3449"/>
      <c r="C1" s="3449"/>
      <c r="D1" s="3449"/>
      <c r="E1" s="3449"/>
      <c r="F1" s="3449"/>
      <c r="G1" s="3449"/>
      <c r="H1" s="3449"/>
      <c r="I1" s="3449"/>
      <c r="J1" s="3449"/>
      <c r="K1" s="3449"/>
      <c r="L1" s="3449"/>
      <c r="M1" s="3449"/>
      <c r="N1" s="4"/>
      <c r="O1" s="4"/>
      <c r="P1" s="4"/>
      <c r="Q1" s="4"/>
      <c r="AA1" s="2480">
        <v>1</v>
      </c>
    </row>
    <row r="2" spans="1:27" s="6" customFormat="1" ht="7.5" customHeight="1">
      <c r="AA2" s="2480">
        <v>2</v>
      </c>
    </row>
    <row r="3" spans="1:27" s="6" customFormat="1" ht="12.75" customHeight="1">
      <c r="B3" s="3450" t="str">
        <f>'Part I-Project Identification'!$A$6</f>
        <v>2024 May 7</v>
      </c>
      <c r="C3" s="3450"/>
      <c r="D3" s="3450"/>
      <c r="E3" s="3450"/>
      <c r="F3" s="4" t="s">
        <v>4628</v>
      </c>
      <c r="I3" s="3451" t="s">
        <v>1231</v>
      </c>
      <c r="J3" s="3452"/>
      <c r="AA3" s="2480">
        <v>3</v>
      </c>
    </row>
    <row r="4" spans="1:27" s="6" customFormat="1" ht="6" customHeight="1">
      <c r="AA4" s="2480">
        <v>4</v>
      </c>
    </row>
    <row r="5" spans="1:27">
      <c r="A5" s="206" t="s">
        <v>4393</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41" t="s">
        <v>5143</v>
      </c>
      <c r="J7" s="3442"/>
      <c r="K7" s="3442"/>
      <c r="L7" s="3442"/>
      <c r="M7" s="3443"/>
      <c r="O7" s="826"/>
      <c r="P7" s="826"/>
      <c r="Q7" s="826"/>
      <c r="R7" s="826"/>
      <c r="S7" s="826"/>
      <c r="T7" s="826"/>
      <c r="U7" s="826"/>
      <c r="V7" s="392"/>
      <c r="W7" s="392"/>
      <c r="X7" s="392"/>
      <c r="Y7" s="392"/>
      <c r="AA7" s="2480">
        <v>7</v>
      </c>
    </row>
    <row r="8" spans="1:27" s="6" customFormat="1" ht="13.35" customHeight="1">
      <c r="A8" s="10"/>
      <c r="F8" s="1" t="s">
        <v>592</v>
      </c>
      <c r="G8" s="1"/>
      <c r="H8" s="26"/>
      <c r="I8" s="3444">
        <v>45292</v>
      </c>
      <c r="J8" s="3445"/>
      <c r="K8" s="5" t="s">
        <v>504</v>
      </c>
      <c r="L8" s="3446" t="s">
        <v>4187</v>
      </c>
      <c r="M8" s="3447"/>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0" t="s">
        <v>566</v>
      </c>
      <c r="G10" s="3440"/>
      <c r="I10" s="3440" t="s">
        <v>193</v>
      </c>
      <c r="J10" s="3440"/>
      <c r="K10" s="3440"/>
      <c r="L10" s="3440"/>
      <c r="M10" s="3440"/>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8" t="s">
        <v>5144</v>
      </c>
      <c r="E12" s="3439"/>
      <c r="F12" s="207" t="s">
        <v>415</v>
      </c>
      <c r="G12" s="207"/>
      <c r="H12" s="791"/>
      <c r="I12" s="1203"/>
      <c r="J12" s="1203">
        <v>10</v>
      </c>
      <c r="K12" s="1203">
        <v>13</v>
      </c>
      <c r="L12" s="1203">
        <v>18</v>
      </c>
      <c r="M12" s="1203"/>
      <c r="O12" s="826"/>
      <c r="P12" s="826"/>
      <c r="Q12" s="826"/>
      <c r="R12" s="826"/>
      <c r="S12" s="826"/>
      <c r="T12" s="826"/>
      <c r="U12" s="826"/>
      <c r="AA12" s="2480">
        <v>12</v>
      </c>
    </row>
    <row r="13" spans="1:27" s="6" customFormat="1" ht="12" customHeight="1">
      <c r="B13" s="1210" t="s">
        <v>1490</v>
      </c>
      <c r="C13" s="1211"/>
      <c r="D13" s="3426" t="s">
        <v>1489</v>
      </c>
      <c r="E13" s="3427"/>
      <c r="F13" s="208" t="s">
        <v>415</v>
      </c>
      <c r="G13" s="208"/>
      <c r="H13" s="790"/>
      <c r="I13" s="1204"/>
      <c r="J13" s="1204">
        <v>9</v>
      </c>
      <c r="K13" s="1204">
        <v>11</v>
      </c>
      <c r="L13" s="1205">
        <v>13</v>
      </c>
      <c r="M13" s="1205"/>
      <c r="O13" s="3428" t="s">
        <v>3190</v>
      </c>
      <c r="P13" s="3428"/>
      <c r="Q13" s="3428"/>
      <c r="AA13" s="2480">
        <v>13</v>
      </c>
    </row>
    <row r="14" spans="1:27" s="6" customFormat="1" ht="12" customHeight="1">
      <c r="B14" s="1212" t="s">
        <v>1491</v>
      </c>
      <c r="C14" s="1213"/>
      <c r="D14" s="3426" t="s">
        <v>1489</v>
      </c>
      <c r="E14" s="3427"/>
      <c r="F14" s="208" t="s">
        <v>415</v>
      </c>
      <c r="G14" s="208"/>
      <c r="H14" s="203"/>
      <c r="I14" s="1204"/>
      <c r="J14" s="1204">
        <v>16</v>
      </c>
      <c r="K14" s="1204">
        <v>22</v>
      </c>
      <c r="L14" s="1205">
        <v>27</v>
      </c>
      <c r="M14" s="1205"/>
      <c r="O14" s="3428"/>
      <c r="P14" s="3428"/>
      <c r="Q14" s="3428"/>
      <c r="AA14" s="2480">
        <v>14</v>
      </c>
    </row>
    <row r="15" spans="1:27" s="6" customFormat="1" ht="12" customHeight="1">
      <c r="B15" s="1214" t="s">
        <v>439</v>
      </c>
      <c r="C15" s="1215"/>
      <c r="D15" s="1214" t="s">
        <v>1489</v>
      </c>
      <c r="E15" s="204"/>
      <c r="F15" s="208" t="s">
        <v>415</v>
      </c>
      <c r="G15" s="208"/>
      <c r="H15" s="789"/>
      <c r="I15" s="1204"/>
      <c r="J15" s="1204">
        <v>7</v>
      </c>
      <c r="K15" s="1204">
        <v>11</v>
      </c>
      <c r="L15" s="1205">
        <v>14</v>
      </c>
      <c r="M15" s="1205"/>
      <c r="O15" s="3428"/>
      <c r="P15" s="3428"/>
      <c r="Q15" s="3428"/>
      <c r="AA15" s="2480">
        <v>15</v>
      </c>
    </row>
    <row r="16" spans="1:27" s="6" customFormat="1" ht="12" customHeight="1">
      <c r="B16" s="1216" t="s">
        <v>3184</v>
      </c>
      <c r="C16" s="1211"/>
      <c r="D16" s="1210" t="s">
        <v>1489</v>
      </c>
      <c r="E16" s="788"/>
      <c r="F16" s="208"/>
      <c r="G16" s="208"/>
      <c r="H16" s="790"/>
      <c r="I16" s="1204"/>
      <c r="J16" s="1204"/>
      <c r="K16" s="1204"/>
      <c r="L16" s="1205"/>
      <c r="M16" s="1205"/>
      <c r="O16" s="3428"/>
      <c r="P16" s="3428"/>
      <c r="Q16" s="3428"/>
      <c r="AA16" s="2480">
        <v>16</v>
      </c>
    </row>
    <row r="17" spans="1:27" s="6" customFormat="1" ht="12" customHeight="1">
      <c r="B17" s="1216" t="s">
        <v>3185</v>
      </c>
      <c r="C17" s="1211"/>
      <c r="D17" s="1210" t="s">
        <v>1489</v>
      </c>
      <c r="E17" s="788"/>
      <c r="F17" s="208"/>
      <c r="G17" s="208"/>
      <c r="H17" s="790"/>
      <c r="I17" s="1204"/>
      <c r="J17" s="1204"/>
      <c r="K17" s="1204"/>
      <c r="L17" s="1205"/>
      <c r="M17" s="1205"/>
      <c r="O17" s="3428"/>
      <c r="P17" s="3428"/>
      <c r="Q17" s="3428"/>
      <c r="AA17" s="2480">
        <v>17</v>
      </c>
    </row>
    <row r="18" spans="1:27" s="6" customFormat="1" ht="12" customHeight="1">
      <c r="B18" s="1217" t="s">
        <v>3186</v>
      </c>
      <c r="C18" s="1213"/>
      <c r="D18" s="1212" t="s">
        <v>1489</v>
      </c>
      <c r="E18" s="788"/>
      <c r="F18" s="208" t="s">
        <v>415</v>
      </c>
      <c r="G18" s="208"/>
      <c r="H18" s="203"/>
      <c r="I18" s="1204"/>
      <c r="J18" s="1204">
        <v>25</v>
      </c>
      <c r="K18" s="1204">
        <v>32</v>
      </c>
      <c r="L18" s="1205">
        <v>39</v>
      </c>
      <c r="M18" s="1205"/>
      <c r="O18" s="3428"/>
      <c r="P18" s="3428"/>
      <c r="Q18" s="3428"/>
      <c r="AA18" s="2480">
        <v>18</v>
      </c>
    </row>
    <row r="19" spans="1:27" s="6" customFormat="1" ht="12" customHeight="1">
      <c r="B19" s="1214" t="s">
        <v>1290</v>
      </c>
      <c r="C19" s="1215"/>
      <c r="D19" s="1220" t="s">
        <v>2992</v>
      </c>
      <c r="E19" s="1202" t="s">
        <v>2641</v>
      </c>
      <c r="F19" s="208" t="s">
        <v>415</v>
      </c>
      <c r="G19" s="208"/>
      <c r="H19" s="789"/>
      <c r="I19" s="1204"/>
      <c r="J19" s="1204">
        <v>51</v>
      </c>
      <c r="K19" s="1204">
        <v>59</v>
      </c>
      <c r="L19" s="1205">
        <v>73</v>
      </c>
      <c r="M19" s="1205"/>
      <c r="O19" s="3428"/>
      <c r="P19" s="3428"/>
      <c r="Q19" s="3428"/>
      <c r="AA19" s="2480">
        <v>19</v>
      </c>
    </row>
    <row r="20" spans="1:27" s="6" customFormat="1" ht="12" customHeight="1">
      <c r="B20" s="1218" t="s">
        <v>1710</v>
      </c>
      <c r="C20" s="1219"/>
      <c r="D20" s="205"/>
      <c r="E20" s="187"/>
      <c r="F20" s="208"/>
      <c r="G20" s="208" t="s">
        <v>415</v>
      </c>
      <c r="H20" s="790"/>
      <c r="I20" s="1204"/>
      <c r="J20" s="1204"/>
      <c r="K20" s="1204"/>
      <c r="L20" s="1205"/>
      <c r="M20" s="1205"/>
      <c r="O20" s="3428"/>
      <c r="P20" s="3428"/>
      <c r="Q20" s="3428"/>
      <c r="AA20" s="2480">
        <v>20</v>
      </c>
    </row>
    <row r="21" spans="1:27" s="6" customFormat="1" ht="12" customHeight="1">
      <c r="B21" s="1218" t="s">
        <v>689</v>
      </c>
      <c r="C21" s="3429"/>
      <c r="D21" s="3430"/>
      <c r="E21" s="3431"/>
      <c r="F21" s="209"/>
      <c r="G21" s="209"/>
      <c r="H21" s="792"/>
      <c r="I21" s="1206"/>
      <c r="J21" s="1206"/>
      <c r="K21" s="1206"/>
      <c r="L21" s="1207"/>
      <c r="M21" s="1207"/>
      <c r="O21" s="3428"/>
      <c r="P21" s="3428"/>
      <c r="Q21" s="3428"/>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148</v>
      </c>
      <c r="L22" s="119">
        <f>IF(SUM(L12:L21)=0,0,IF(OR($D12="&lt;&lt;Select Fuel &gt;&gt;",$D13="&lt;&lt;Select Fuel &gt;&gt;",$D14="&lt;&lt;Select Fuel &gt;&gt;"),"Select Fuel",IF($E19="&lt;Select&gt;","Submeter?",SUM(L12:L21))))</f>
        <v>184</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1"/>
      <c r="J24" s="3442"/>
      <c r="K24" s="3442"/>
      <c r="L24" s="3442"/>
      <c r="M24" s="3443"/>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4"/>
      <c r="J25" s="3445"/>
      <c r="K25" s="5" t="s">
        <v>504</v>
      </c>
      <c r="L25" s="3446"/>
      <c r="M25" s="3447"/>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40" t="s">
        <v>566</v>
      </c>
      <c r="G27" s="3440"/>
      <c r="I27" s="3440" t="s">
        <v>193</v>
      </c>
      <c r="J27" s="3440"/>
      <c r="K27" s="3440"/>
      <c r="L27" s="3440"/>
      <c r="M27" s="3440"/>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8" t="s">
        <v>1684</v>
      </c>
      <c r="E29" s="3439"/>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6" t="s">
        <v>1684</v>
      </c>
      <c r="E30" s="3427"/>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6" t="s">
        <v>1684</v>
      </c>
      <c r="E31" s="3427"/>
      <c r="F31" s="208"/>
      <c r="G31" s="208"/>
      <c r="H31" s="203"/>
      <c r="I31" s="1204"/>
      <c r="J31" s="1204"/>
      <c r="K31" s="1204"/>
      <c r="L31" s="1205"/>
      <c r="M31" s="1205"/>
      <c r="O31" s="3428" t="s">
        <v>3190</v>
      </c>
      <c r="P31" s="3428"/>
      <c r="Q31" s="3428"/>
      <c r="AA31" s="2480">
        <v>31</v>
      </c>
    </row>
    <row r="32" spans="1:27" s="6" customFormat="1" ht="12" customHeight="1">
      <c r="B32" s="1214" t="s">
        <v>439</v>
      </c>
      <c r="C32" s="1215"/>
      <c r="D32" s="1214" t="s">
        <v>1489</v>
      </c>
      <c r="E32" s="204"/>
      <c r="F32" s="208"/>
      <c r="G32" s="208"/>
      <c r="H32" s="789"/>
      <c r="I32" s="1204"/>
      <c r="J32" s="1204"/>
      <c r="K32" s="1204"/>
      <c r="L32" s="1205"/>
      <c r="M32" s="1205"/>
      <c r="O32" s="3428"/>
      <c r="P32" s="3428"/>
      <c r="Q32" s="3428"/>
      <c r="AA32" s="2480">
        <v>32</v>
      </c>
    </row>
    <row r="33" spans="1:27" s="6" customFormat="1" ht="12" customHeight="1">
      <c r="B33" s="1216" t="s">
        <v>3184</v>
      </c>
      <c r="C33" s="1211"/>
      <c r="D33" s="1210" t="s">
        <v>1489</v>
      </c>
      <c r="E33" s="788"/>
      <c r="F33" s="208"/>
      <c r="G33" s="208"/>
      <c r="H33" s="790"/>
      <c r="I33" s="1204"/>
      <c r="J33" s="1204"/>
      <c r="K33" s="1204"/>
      <c r="L33" s="1205"/>
      <c r="M33" s="1205"/>
      <c r="O33" s="3428"/>
      <c r="P33" s="3428"/>
      <c r="Q33" s="3428"/>
      <c r="AA33" s="2480">
        <v>33</v>
      </c>
    </row>
    <row r="34" spans="1:27" s="6" customFormat="1" ht="12" customHeight="1">
      <c r="B34" s="1216" t="s">
        <v>3185</v>
      </c>
      <c r="C34" s="1211"/>
      <c r="D34" s="1210" t="s">
        <v>1489</v>
      </c>
      <c r="E34" s="788"/>
      <c r="F34" s="208"/>
      <c r="G34" s="208"/>
      <c r="H34" s="790"/>
      <c r="I34" s="1204"/>
      <c r="J34" s="1204"/>
      <c r="K34" s="1204"/>
      <c r="L34" s="1205"/>
      <c r="M34" s="1205"/>
      <c r="O34" s="3428"/>
      <c r="P34" s="3428"/>
      <c r="Q34" s="3428"/>
      <c r="AA34" s="2480">
        <v>34</v>
      </c>
    </row>
    <row r="35" spans="1:27" s="6" customFormat="1" ht="12" customHeight="1">
      <c r="B35" s="1217" t="s">
        <v>3186</v>
      </c>
      <c r="C35" s="1213"/>
      <c r="D35" s="1212" t="s">
        <v>1489</v>
      </c>
      <c r="E35" s="788"/>
      <c r="F35" s="208"/>
      <c r="G35" s="208"/>
      <c r="H35" s="203"/>
      <c r="I35" s="1204"/>
      <c r="J35" s="1204"/>
      <c r="K35" s="1204"/>
      <c r="L35" s="1205"/>
      <c r="M35" s="1205"/>
      <c r="O35" s="3428"/>
      <c r="P35" s="3428"/>
      <c r="Q35" s="3428"/>
      <c r="AA35" s="2480">
        <v>35</v>
      </c>
    </row>
    <row r="36" spans="1:27" s="6" customFormat="1" ht="12" customHeight="1">
      <c r="B36" s="1214" t="s">
        <v>1290</v>
      </c>
      <c r="C36" s="1215"/>
      <c r="D36" s="1220" t="s">
        <v>2992</v>
      </c>
      <c r="E36" s="1202" t="s">
        <v>194</v>
      </c>
      <c r="F36" s="208"/>
      <c r="G36" s="208"/>
      <c r="H36" s="789"/>
      <c r="I36" s="1204"/>
      <c r="J36" s="1204"/>
      <c r="K36" s="1204"/>
      <c r="L36" s="1205"/>
      <c r="M36" s="1205"/>
      <c r="O36" s="3428"/>
      <c r="P36" s="3428"/>
      <c r="Q36" s="3428"/>
      <c r="AA36" s="2480">
        <v>36</v>
      </c>
    </row>
    <row r="37" spans="1:27" s="6" customFormat="1" ht="12" customHeight="1">
      <c r="B37" s="1218" t="s">
        <v>1710</v>
      </c>
      <c r="C37" s="1219"/>
      <c r="D37" s="205"/>
      <c r="E37" s="187"/>
      <c r="F37" s="208"/>
      <c r="G37" s="208"/>
      <c r="H37" s="790"/>
      <c r="I37" s="1204"/>
      <c r="J37" s="1204"/>
      <c r="K37" s="1204"/>
      <c r="L37" s="1205"/>
      <c r="M37" s="1205"/>
      <c r="O37" s="3428"/>
      <c r="P37" s="3428"/>
      <c r="Q37" s="3428"/>
      <c r="AA37" s="2480">
        <v>37</v>
      </c>
    </row>
    <row r="38" spans="1:27" s="6" customFormat="1" ht="12" customHeight="1">
      <c r="B38" s="1218" t="s">
        <v>689</v>
      </c>
      <c r="C38" s="3429"/>
      <c r="D38" s="3430"/>
      <c r="E38" s="3431"/>
      <c r="F38" s="209"/>
      <c r="G38" s="209"/>
      <c r="H38" s="792"/>
      <c r="I38" s="1206"/>
      <c r="J38" s="1206"/>
      <c r="K38" s="1206"/>
      <c r="L38" s="1207"/>
      <c r="M38" s="1207"/>
      <c r="O38" s="3428"/>
      <c r="P38" s="3428"/>
      <c r="Q38" s="3428"/>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8"/>
      <c r="P39" s="3428"/>
      <c r="Q39" s="3428"/>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2" t="s">
        <v>5209</v>
      </c>
      <c r="C43" s="3433"/>
      <c r="D43" s="3433"/>
      <c r="E43" s="3433"/>
      <c r="F43" s="3433"/>
      <c r="G43" s="3433"/>
      <c r="H43" s="3433"/>
      <c r="I43" s="3433"/>
      <c r="J43" s="3433"/>
      <c r="K43" s="3433"/>
      <c r="L43" s="3433"/>
      <c r="M43" s="3434"/>
      <c r="N43"/>
      <c r="O43" s="2909" t="s">
        <v>2445</v>
      </c>
      <c r="P43" s="2909"/>
      <c r="Q43" s="2909"/>
      <c r="R43" s="2909"/>
      <c r="S43" s="2909"/>
      <c r="AA43" s="2480">
        <v>43</v>
      </c>
    </row>
    <row r="44" spans="1:27" s="6" customFormat="1" ht="3" customHeight="1">
      <c r="M44"/>
      <c r="N44"/>
      <c r="O44" s="2909"/>
      <c r="P44" s="2909"/>
      <c r="Q44" s="2909"/>
      <c r="R44" s="2909"/>
      <c r="S44" s="2909"/>
      <c r="AA44" s="2480">
        <v>44</v>
      </c>
    </row>
    <row r="45" spans="1:27" s="6" customFormat="1" ht="12" customHeight="1">
      <c r="A45" s="10"/>
      <c r="B45" s="10" t="s">
        <v>1706</v>
      </c>
      <c r="M45"/>
      <c r="N45"/>
      <c r="O45" s="2909"/>
      <c r="P45" s="2909"/>
      <c r="Q45" s="2909"/>
      <c r="R45" s="2909"/>
      <c r="S45" s="2909"/>
      <c r="AA45" s="2480">
        <v>45</v>
      </c>
    </row>
    <row r="46" spans="1:27" s="6" customFormat="1" ht="24.75" customHeight="1">
      <c r="B46" s="3435"/>
      <c r="C46" s="3436"/>
      <c r="D46" s="3436"/>
      <c r="E46" s="3436"/>
      <c r="F46" s="3436"/>
      <c r="G46" s="3436"/>
      <c r="H46" s="3436"/>
      <c r="I46" s="3436"/>
      <c r="J46" s="3436"/>
      <c r="K46" s="3436"/>
      <c r="L46" s="3436"/>
      <c r="M46" s="3437"/>
      <c r="N46"/>
      <c r="O46" s="2909"/>
      <c r="P46" s="2909"/>
      <c r="Q46" s="2909"/>
      <c r="R46" s="2909"/>
      <c r="S46" s="2909"/>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8E7F9A-60FF-48DE-A6F6-74CCAFD66DE5}">
  <ds:schemaRefs>
    <ds:schemaRef ds:uri="http://schemas.microsoft.com/office/2006/metadata/properties"/>
    <ds:schemaRef ds:uri="http://schemas.microsoft.com/office/infopath/2007/PartnerControls"/>
    <ds:schemaRef ds:uri="86500966-c6b3-4729-b655-d87ba9daa3c5"/>
    <ds:schemaRef ds:uri="4452488b-ce50-411e-ac73-7b82be4694d0"/>
    <ds:schemaRef ds:uri="http://schemas.microsoft.com/sharepoint/v3"/>
  </ds:schemaRefs>
</ds:datastoreItem>
</file>

<file path=customXml/itemProps2.xml><?xml version="1.0" encoding="utf-8"?>
<ds:datastoreItem xmlns:ds="http://schemas.openxmlformats.org/officeDocument/2006/customXml" ds:itemID="{14203B7C-54C6-4690-BC3E-7D657332FCF8}">
  <ds:schemaRefs>
    <ds:schemaRef ds:uri="http://schemas.microsoft.com/sharepoint/v3/contenttype/forms"/>
  </ds:schemaRefs>
</ds:datastoreItem>
</file>

<file path=customXml/itemProps3.xml><?xml version="1.0" encoding="utf-8"?>
<ds:datastoreItem xmlns:ds="http://schemas.openxmlformats.org/officeDocument/2006/customXml" ds:itemID="{77F89BE3-F4C0-46CC-B693-F39AB34BC465}">
  <ds:schemaRefs>
    <ds:schemaRef ds:uri="http://schemas.microsoft.com/sharepoint/events"/>
  </ds:schemaRefs>
</ds:datastoreItem>
</file>

<file path=customXml/itemProps4.xml><?xml version="1.0" encoding="utf-8"?>
<ds:datastoreItem xmlns:ds="http://schemas.openxmlformats.org/officeDocument/2006/customXml" ds:itemID="{652E0F6C-7F33-4FB1-AF83-4F4E32B013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2024-04-27T01:04:55Z</cp:lastPrinted>
  <dcterms:created xsi:type="dcterms:W3CDTF">2005-09-15T20:51:37Z</dcterms:created>
  <dcterms:modified xsi:type="dcterms:W3CDTF">2024-05-17T23:39:35Z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